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17025" windowHeight="9060" activeTab="1"/>
  </bookViews>
  <sheets>
    <sheet name="Инструкция" sheetId="1" r:id="rId1"/>
    <sheet name="Ввод данных и результаты" sheetId="2" r:id="rId2"/>
    <sheet name="Рабочий" sheetId="3" state="hidden" r:id="rId3"/>
  </sheets>
  <definedNames>
    <definedName name="_xlfn.BAHTTEXT" hidden="1">#NAME?</definedName>
    <definedName name="OLE_LINK1" localSheetId="0">'Инструкция'!$B$56</definedName>
  </definedNames>
  <calcPr fullCalcOnLoad="1"/>
</workbook>
</file>

<file path=xl/sharedStrings.xml><?xml version="1.0" encoding="utf-8"?>
<sst xmlns="http://schemas.openxmlformats.org/spreadsheetml/2006/main" count="280" uniqueCount="185">
  <si>
    <t>Log</t>
  </si>
  <si>
    <t>позиция х</t>
  </si>
  <si>
    <t>длина строки</t>
  </si>
  <si>
    <t>ОП сывороток, О.Е.</t>
  </si>
  <si>
    <t>общий Т4</t>
  </si>
  <si>
    <t>свободный Т3</t>
  </si>
  <si>
    <t>общий Т3</t>
  </si>
  <si>
    <t>свободный Т4</t>
  </si>
  <si>
    <t>A</t>
  </si>
  <si>
    <t>B</t>
  </si>
  <si>
    <t>C</t>
  </si>
  <si>
    <t>D</t>
  </si>
  <si>
    <t>E</t>
  </si>
  <si>
    <t>F</t>
  </si>
  <si>
    <t>G</t>
  </si>
  <si>
    <t>H</t>
  </si>
  <si>
    <t>выкинуть</t>
  </si>
  <si>
    <t>Оптическая плотность калибратора, О.Е.</t>
  </si>
  <si>
    <t>позиция х2</t>
  </si>
  <si>
    <t>проверка условия</t>
  </si>
  <si>
    <t>начало подстроки</t>
  </si>
  <si>
    <t>конец подстроки</t>
  </si>
  <si>
    <t>коэффициент</t>
  </si>
  <si>
    <t>позиция x5</t>
  </si>
  <si>
    <t>позиция x4</t>
  </si>
  <si>
    <t>позиция x3</t>
  </si>
  <si>
    <t>1.Выберите название тест-системы:</t>
  </si>
  <si>
    <t>2.Внесите значения ОП калибраторов:</t>
  </si>
  <si>
    <t>Файлы для обработки результатов количественных тест-систем</t>
  </si>
  <si>
    <t xml:space="preserve"> производства НПО «Диагностические системы»</t>
  </si>
  <si>
    <t>Общие сведения о продукте</t>
  </si>
  <si>
    <t>Поставляемые файлы</t>
  </si>
  <si>
    <t>Установка файлов</t>
  </si>
  <si>
    <t>Возможные сбои в работе программы и способы их устранения</t>
  </si>
  <si>
    <t>Файлы реализованы в формате Microsoft Excel. Работа с ними осуществляется на компьютере с операционной системой Windows и установленным приложением MS Excel.</t>
  </si>
  <si>
    <t>На диске представлены следующие файлы:</t>
  </si>
  <si>
    <r>
      <t xml:space="preserve"> “</t>
    </r>
    <r>
      <rPr>
        <b/>
        <sz val="12"/>
        <rFont val="Times New Roman"/>
        <family val="1"/>
      </rPr>
      <t>Маркеры инфекционных заболеваний.xls “;</t>
    </r>
  </si>
  <si>
    <t>“Аутоиммунные маркеры.xls”;</t>
  </si>
  <si>
    <t>“Инструкция.doc” (файл содержащий электронный вариант инструкции).</t>
  </si>
  <si>
    <r>
      <t>Файл</t>
    </r>
    <r>
      <rPr>
        <b/>
        <sz val="12"/>
        <rFont val="Times New Roman"/>
        <family val="1"/>
      </rPr>
      <t xml:space="preserve"> “Инструкция.doc” </t>
    </r>
    <r>
      <rPr>
        <sz val="12"/>
        <rFont val="Times New Roman"/>
        <family val="1"/>
      </rPr>
      <t>содержит электронный вариант инструкции.</t>
    </r>
  </si>
  <si>
    <t xml:space="preserve">1. Файлы рекомендуется скопировать на используемый компьютер. </t>
  </si>
  <si>
    <t xml:space="preserve">В случае нарушения  работы файлов вследствие изменения или удаления значений рабочих ячеек - необходимо заново скопировать файл. </t>
  </si>
  <si>
    <t>Также допустима работа с файлами непосредственно с CD-диска.</t>
  </si>
  <si>
    <r>
      <t xml:space="preserve">2. Для работы программы необходимо настроить в Excel с помощью меню   </t>
    </r>
    <r>
      <rPr>
        <sz val="12"/>
        <color indexed="12"/>
        <rFont val="Times New Roman"/>
        <family val="1"/>
      </rPr>
      <t>«Сервис»-&gt;«Макрос»-&gt;«Безопасность»</t>
    </r>
    <r>
      <rPr>
        <sz val="12"/>
        <rFont val="Times New Roman"/>
        <family val="1"/>
      </rPr>
      <t xml:space="preserve"> низкий уровень безопасности для макросов (рис.1).</t>
    </r>
  </si>
  <si>
    <t>При первом использовании файла после установки уровня безопасности необходимо закрыть файл и открыть его заново для включения макросов.</t>
  </si>
  <si>
    <t>Рис. 1</t>
  </si>
  <si>
    <t>Копирование данных в другие файлы Microsoft Excel</t>
  </si>
  <si>
    <t>Нарушения работы программы возможны в следующих случаях:</t>
  </si>
  <si>
    <r>
      <t>1. Отключены макросы.</t>
    </r>
    <r>
      <rPr>
        <sz val="12"/>
        <rFont val="Times New Roman"/>
        <family val="1"/>
      </rPr>
      <t xml:space="preserve"> Решение этой проблемы описано в разделе «Установка файлов», пункт 2.</t>
    </r>
  </si>
  <si>
    <r>
      <t>2. Замена или удаление значений рабочих ячеек.</t>
    </r>
    <r>
      <rPr>
        <sz val="12"/>
        <rFont val="Times New Roman"/>
        <family val="1"/>
      </rPr>
      <t xml:space="preserve"> В этом случае необходимо заново скопировать на компьютер файлы с диска.</t>
    </r>
  </si>
  <si>
    <t>Замечания и вопросы по работе с файлами  присылайте по адресу: ckd@npods.ru</t>
  </si>
  <si>
    <t>Рис.2</t>
  </si>
  <si>
    <t>Рис.3</t>
  </si>
  <si>
    <t>Рис.4</t>
  </si>
  <si>
    <t>При копировании данных в другие файлы или листы Microsoft Excel необходимо скопировать нужные ячейки и вставить только значения (рис.4Б) с помощью функции «Специальная вставка» (вызывается из меню правой кнопки мыши- рис.4А).</t>
  </si>
  <si>
    <t>СОДЕРЖАНИЕ</t>
  </si>
  <si>
    <t>Копирование данных в другие файлы Excel</t>
  </si>
  <si>
    <t>Значения для пересчета</t>
  </si>
  <si>
    <t>окончательный результат</t>
  </si>
  <si>
    <t>Номер тест-системы</t>
  </si>
  <si>
    <t>Логарифмирование ОП</t>
  </si>
  <si>
    <t xml:space="preserve">логарифмирование МЕ </t>
  </si>
  <si>
    <t>-</t>
  </si>
  <si>
    <t>нормы</t>
  </si>
  <si>
    <t xml:space="preserve">возможность самозаполнения </t>
  </si>
  <si>
    <t>и возврата исходных настроек</t>
  </si>
  <si>
    <t>тип кривой</t>
  </si>
  <si>
    <t>Вычитание 0</t>
  </si>
  <si>
    <t>вычитание 0</t>
  </si>
  <si>
    <t>ФСГ</t>
  </si>
  <si>
    <t>ЛГ</t>
  </si>
  <si>
    <t>ТТГ</t>
  </si>
  <si>
    <t xml:space="preserve">           </t>
  </si>
  <si>
    <t>название</t>
  </si>
  <si>
    <t>логарифмирование оп</t>
  </si>
  <si>
    <t>ед измерения</t>
  </si>
  <si>
    <t>мин</t>
  </si>
  <si>
    <t>макс</t>
  </si>
  <si>
    <t>текст</t>
  </si>
  <si>
    <t>МЕ/мл</t>
  </si>
  <si>
    <t>мМЕ/мл</t>
  </si>
  <si>
    <t>Т4-своб.</t>
  </si>
  <si>
    <t>пмоль/л</t>
  </si>
  <si>
    <t>мкМЕ/мл</t>
  </si>
  <si>
    <t>ХГч</t>
  </si>
  <si>
    <t>пролактина</t>
  </si>
  <si>
    <t>анти-ТГ</t>
  </si>
  <si>
    <t>анти-ТПО</t>
  </si>
  <si>
    <t>АФП</t>
  </si>
  <si>
    <t>нг/мл</t>
  </si>
  <si>
    <t>своб.ПСА</t>
  </si>
  <si>
    <t>общ.ПСА</t>
  </si>
  <si>
    <t>Т3-своб.</t>
  </si>
  <si>
    <t>Т3-общ.</t>
  </si>
  <si>
    <t>ТГ</t>
  </si>
  <si>
    <t>+</t>
  </si>
  <si>
    <t>нмоль/л</t>
  </si>
  <si>
    <t>Т4-общ.</t>
  </si>
  <si>
    <t>пг/мл</t>
  </si>
  <si>
    <t>ДС-ИФА-Тироид-Т4-свободный</t>
  </si>
  <si>
    <t>ДС-ИФА-Тироид-ТТГ</t>
  </si>
  <si>
    <t>ДС-ИФА-Пролактин</t>
  </si>
  <si>
    <t>ДС-ИФА-Тироид-анти-ТГ</t>
  </si>
  <si>
    <t>ДС-ИФА-Тироид-анти-ТПО</t>
  </si>
  <si>
    <t>ДС-ИФА-АФП</t>
  </si>
  <si>
    <t>ДС-ИФА-ПСА-свободный</t>
  </si>
  <si>
    <t>ДС-ИФА-ПСА-общий</t>
  </si>
  <si>
    <t>ДС-ИФА-Гонадотропин-ЛГ</t>
  </si>
  <si>
    <t>ДС-ИФА-Гонадотропин-ФСГ</t>
  </si>
  <si>
    <t>ДС-ИФА-Гонадотропин-ХГч</t>
  </si>
  <si>
    <t>ДС-ИФА-Тироид-ТГ</t>
  </si>
  <si>
    <t>ДС-ИФА-Тироид-Т4-общий</t>
  </si>
  <si>
    <t>ДС-ИФА-Тироид-Т3-свободный</t>
  </si>
  <si>
    <t>ДС-ИФА-Тироид-Т3-общий</t>
  </si>
  <si>
    <t>3.Внесите значения В0 в повторах:</t>
  </si>
  <si>
    <t>5.Внесите значения оптических плотностей сывороток в повторах:</t>
  </si>
  <si>
    <t>6. Значения концентрации маркера в образцах:</t>
  </si>
  <si>
    <t>Определение концентраций гормонов и антител к гормонам</t>
  </si>
  <si>
    <t>Данные файлы предназначены для обработки результатов количественных иммуноферментных тест-систем производства НПО «Диагностические системы». Файлы автоматически рассчитывают концентрации гормонов и антител в исследуемых образцах.</t>
  </si>
  <si>
    <t>“Гормоны.xls”;</t>
  </si>
  <si>
    <r>
      <t>Файл “</t>
    </r>
    <r>
      <rPr>
        <b/>
        <sz val="12"/>
        <rFont val="Times New Roman"/>
        <family val="1"/>
      </rPr>
      <t xml:space="preserve">Гормоны.xls “ </t>
    </r>
    <r>
      <rPr>
        <sz val="12"/>
        <rFont val="Times New Roman"/>
        <family val="1"/>
      </rPr>
      <t>используется</t>
    </r>
    <r>
      <rPr>
        <b/>
        <sz val="12"/>
        <rFont val="Times New Roman"/>
        <family val="1"/>
      </rPr>
      <t xml:space="preserve"> </t>
    </r>
    <r>
      <rPr>
        <sz val="12"/>
        <rFont val="Times New Roman"/>
        <family val="1"/>
      </rPr>
      <t>для обработки результатов следующих тест-систем:</t>
    </r>
  </si>
  <si>
    <t>"ДС-ИФА-Тироид-ТТГ"</t>
  </si>
  <si>
    <t>"ДС-ИФА-Тироид-Т4-свободный"</t>
  </si>
  <si>
    <t>"ДС-ИФА-Тироид-Т4-общий"</t>
  </si>
  <si>
    <t>"ДС-ИФА-Тироид-Т3-свободный"</t>
  </si>
  <si>
    <t>"ДС-ИФА-Тироид-Т3-общий"</t>
  </si>
  <si>
    <t>"ДС-ИФА-Тироид-анти-ТГ"</t>
  </si>
  <si>
    <t>"ДС-ИФА-Тироид-анти-ТПО"</t>
  </si>
  <si>
    <t>"ДС-ИФА-Тироид-ТГ"</t>
  </si>
  <si>
    <t>"ДС-ИФА-Гонадотропин-ЛГ"</t>
  </si>
  <si>
    <t>"ДС-ИФА-Гонадотропин-ФСГ"</t>
  </si>
  <si>
    <t>"ДС-ИФА-Пролактин"</t>
  </si>
  <si>
    <t>"ДС-ИФА-Гонадотропин-ХГч"</t>
  </si>
  <si>
    <t>"ДС-ИФА-АФП"</t>
  </si>
  <si>
    <t>"ДС-ИФА-ПСА-общий"</t>
  </si>
  <si>
    <t>"ДС-ИФА-ПСА-свободный"</t>
  </si>
  <si>
    <t>Каждый файл состоит из нескольких листов: на первом листе располагается инструкция по использованию, на листе «Ввод и обработка результатов», располагаются модули для обработки результатов тест-систем.</t>
  </si>
  <si>
    <t xml:space="preserve"> </t>
  </si>
  <si>
    <r>
      <t xml:space="preserve">Определение концентраций гормонов и антител к гормонам производится с помощью файла </t>
    </r>
    <r>
      <rPr>
        <b/>
        <sz val="12"/>
        <rFont val="Times New Roman"/>
        <family val="1"/>
      </rPr>
      <t>«Гормоны.xls»</t>
    </r>
  </si>
  <si>
    <r>
      <t xml:space="preserve">Определение концентрации гормонов или антител к гормонам следует проводить на листе </t>
    </r>
    <r>
      <rPr>
        <b/>
        <sz val="12"/>
        <rFont val="Times New Roman"/>
        <family val="1"/>
      </rPr>
      <t>«Ввод данных и результаты»</t>
    </r>
    <r>
      <rPr>
        <sz val="12"/>
        <color indexed="12"/>
        <rFont val="Times New Roman"/>
        <family val="1"/>
      </rPr>
      <t xml:space="preserve"> </t>
    </r>
    <r>
      <rPr>
        <sz val="12"/>
        <rFont val="Times New Roman"/>
        <family val="1"/>
      </rPr>
      <t>(рис.3А)  по следующему алгоритму:</t>
    </r>
  </si>
  <si>
    <t>1. Выберите в выпадающем списке название тест-системы(рис.3Б)..</t>
  </si>
  <si>
    <t>2. Внесите указанные значения  концентрации гормонов (антител) в калибраторах  и значения ОП калибраторов (рис.3В) и значения нулевого калибратора в повторах (рис.3Г).</t>
  </si>
  <si>
    <t>3. Нажатием кнопки 4(рис.3Д) подберите формулу для пересчета (формула будет внесена автоматически). Обратите внимание, что при изменении значения ОП или концентрации одного из калибраторов рассчитанные значения концентраций гормонов (антител) для образцов автоматически обнуляются, и необходимо опять подбирать формулу нажатием кнопки.</t>
  </si>
  <si>
    <t>4. Внесите значения ОП исследуемых образцов вручную или вставьте, скопировав из другого файла или программы (рис.3Е).</t>
  </si>
  <si>
    <r>
      <t xml:space="preserve">При вставке данных обратите внимание, какой разделитель используется во вставляемых значениях (запятая или точка). Если разделитель отличается от разделителя используемого в вашей версии Excel, до внесения данных необходимо выбрать разделитель, используемый во вставляемых данных: зайдите в меню </t>
    </r>
    <r>
      <rPr>
        <sz val="12"/>
        <color indexed="12"/>
        <rFont val="Times New Roman"/>
        <family val="1"/>
      </rPr>
      <t xml:space="preserve">«Сервис»-&gt; «Параметры» (рис.2А), </t>
    </r>
    <r>
      <rPr>
        <i/>
        <sz val="12"/>
        <color indexed="10"/>
        <rFont val="Times New Roman"/>
        <family val="1"/>
      </rPr>
      <t xml:space="preserve">перейдите на вкладку </t>
    </r>
    <r>
      <rPr>
        <sz val="12"/>
        <color indexed="12"/>
        <rFont val="Times New Roman"/>
        <family val="1"/>
      </rPr>
      <t>«Международные»</t>
    </r>
    <r>
      <rPr>
        <i/>
        <sz val="12"/>
        <color indexed="10"/>
        <rFont val="Times New Roman"/>
        <family val="1"/>
      </rPr>
      <t xml:space="preserve">, отключите флажок </t>
    </r>
    <r>
      <rPr>
        <sz val="12"/>
        <color indexed="12"/>
        <rFont val="Times New Roman"/>
        <family val="1"/>
      </rPr>
      <t>«Использовать системные разделители» (рис.2Б)</t>
    </r>
    <r>
      <rPr>
        <i/>
        <sz val="12"/>
        <color indexed="10"/>
        <rFont val="Times New Roman"/>
        <family val="1"/>
      </rPr>
      <t xml:space="preserve"> и в окошке</t>
    </r>
    <r>
      <rPr>
        <sz val="12"/>
        <color indexed="12"/>
        <rFont val="Times New Roman"/>
        <family val="1"/>
      </rPr>
      <t xml:space="preserve"> «Разделитель дробной и целой части» (рис.2В)  </t>
    </r>
    <r>
      <rPr>
        <i/>
        <sz val="12"/>
        <color indexed="10"/>
        <rFont val="Times New Roman"/>
        <family val="1"/>
      </rPr>
      <t>укажите нужный знак.</t>
    </r>
    <r>
      <rPr>
        <sz val="12"/>
        <color indexed="8"/>
        <rFont val="Times New Roman"/>
        <family val="1"/>
      </rPr>
      <t xml:space="preserve"> </t>
    </r>
  </si>
  <si>
    <t>5. В нижней таблице представлены концентрации в образцах антител к Rubella virus, МЕ/мл (рис.3Ж). Зеленым цветом выделены образцы, с пониженным содержанием гормона или антител. Оранжевым цветом выделены образцы, с повышенным содержанием гормона или антител.</t>
  </si>
  <si>
    <t>Инструкция по применению</t>
  </si>
  <si>
    <t>ДС-ИФА-Стероид-Прогестерон</t>
  </si>
  <si>
    <t>ДС-ИФА-Стероид-Тестостерон</t>
  </si>
  <si>
    <t>ДС-ИФА-Стероид-Кортизол</t>
  </si>
  <si>
    <t>ДС-ИФА-СА-125</t>
  </si>
  <si>
    <t>СА-125</t>
  </si>
  <si>
    <t>Ед/мл</t>
  </si>
  <si>
    <t>прогестерона</t>
  </si>
  <si>
    <t>тестостерона</t>
  </si>
  <si>
    <t>кортизола</t>
  </si>
  <si>
    <t>R² = 1</t>
  </si>
  <si>
    <t>АФП - 1 МЕ/мл</t>
  </si>
  <si>
    <t>ЛГ - 0,3 мМЕ/мл</t>
  </si>
  <si>
    <t>ФСГ - 0,3 мМЕ/мл</t>
  </si>
  <si>
    <t>ХГч - 1 мМЕ/мл</t>
  </si>
  <si>
    <t>Пролактин - 10 мМЕ/л</t>
  </si>
  <si>
    <t>ПСА общий - 0,1 нг/мл</t>
  </si>
  <si>
    <t>ПСА свободный - 0,05 нг/мл</t>
  </si>
  <si>
    <t>СА 125 - 1 Ед/мл</t>
  </si>
  <si>
    <t>Кортизол - 5 нмоль/л</t>
  </si>
  <si>
    <t>Тестостерон - 0,2 нмоль/л</t>
  </si>
  <si>
    <t>Т3 общий – 0,2 нг/мл</t>
  </si>
  <si>
    <t>Т3 свободный – 0,3 пг/мл</t>
  </si>
  <si>
    <t>Т4 общий – 5 нмоль/л</t>
  </si>
  <si>
    <t>Т4 свободный – 1,0 пмоль/л</t>
  </si>
  <si>
    <t>Тиреоглобулин – 1,5 нг/мл</t>
  </si>
  <si>
    <t>Прогестерон – 0,5 нмоль/л</t>
  </si>
  <si>
    <t>Анти –ТГ – 5,0 МЕ/мл</t>
  </si>
  <si>
    <t>Анти ТПО – 2,0 МЕ/мл</t>
  </si>
  <si>
    <t>ТТГ - 0,05 мкМЕ/мл</t>
  </si>
  <si>
    <t>R² = 0.9982</t>
  </si>
  <si>
    <t>y = -0.0005x2 + 0.0907x - 0.2179</t>
  </si>
  <si>
    <t>R² = 0.9997</t>
  </si>
  <si>
    <t>y = -6E-06x3 + 0.0002x2 + 0.0715x - 0.133</t>
  </si>
  <si>
    <t>y = -3E-07x4 + 3E-05x3 - 0.0015x2 + 0.0943x - 0.183</t>
  </si>
  <si>
    <t>R² = 0.9933</t>
  </si>
  <si>
    <t>y = -0.0004x2 + 0.0799x</t>
  </si>
  <si>
    <t>R² = 0.9985</t>
  </si>
  <si>
    <t>y = -9E-06x3 + 0.0006x2 + 0.0569x</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</si>
</sst>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0000"/>
    <numFmt numFmtId="177" formatCode="0.0000"/>
    <numFmt numFmtId="178" formatCode="0.000000"/>
    <numFmt numFmtId="179" formatCode="0.0"/>
    <numFmt numFmtId="180" formatCode="0.000"/>
    <numFmt numFmtId="181" formatCode="_-* #,##0.000_р_._-;\-* #,##0.000_р_._-;_-* &quot;-&quot;??_р_._-;_-@_-"/>
  </numFmts>
  <fonts count="60">
    <font>
      <sz val="10"/>
      <name val="Arial Cyr"/>
      <family val="0"/>
    </font>
    <font>
      <b/>
      <sz val="10"/>
      <name val="Arial Cyr"/>
      <family val="2"/>
    </font>
    <font>
      <b/>
      <sz val="10"/>
      <color indexed="20"/>
      <name val="Arial Cyr"/>
      <family val="0"/>
    </font>
    <font>
      <b/>
      <sz val="14"/>
      <color indexed="20"/>
      <name val="Arial Cyr"/>
      <family val="0"/>
    </font>
    <font>
      <u val="single"/>
      <sz val="10"/>
      <color indexed="12"/>
      <name val="Arial Cyr"/>
      <family val="0"/>
    </font>
    <font>
      <u val="single"/>
      <sz val="10"/>
      <color indexed="36"/>
      <name val="Arial Cyr"/>
      <family val="0"/>
    </font>
    <font>
      <sz val="12"/>
      <name val="Times New Roman"/>
      <family val="1"/>
    </font>
    <font>
      <sz val="12"/>
      <color indexed="12"/>
      <name val="Times New Roman"/>
      <family val="1"/>
    </font>
    <font>
      <b/>
      <sz val="12"/>
      <name val="Times New Roman"/>
      <family val="1"/>
    </font>
    <font>
      <b/>
      <sz val="11"/>
      <name val="Times New Roman"/>
      <family val="1"/>
    </font>
    <font>
      <i/>
      <sz val="12"/>
      <color indexed="10"/>
      <name val="Times New Roman"/>
      <family val="1"/>
    </font>
    <font>
      <b/>
      <sz val="14"/>
      <name val="Times New Roman"/>
      <family val="1"/>
    </font>
    <font>
      <sz val="14"/>
      <name val="Times New Roman"/>
      <family val="1"/>
    </font>
    <font>
      <sz val="10"/>
      <color indexed="10"/>
      <name val="Arial Cyr"/>
      <family val="0"/>
    </font>
    <font>
      <b/>
      <sz val="10"/>
      <color indexed="9"/>
      <name val="Arial Cyr"/>
      <family val="0"/>
    </font>
    <font>
      <sz val="11"/>
      <name val="Times New Roman"/>
      <family val="1"/>
    </font>
    <font>
      <sz val="12"/>
      <color indexed="8"/>
      <name val="Times New Roman"/>
      <family val="1"/>
    </font>
    <font>
      <sz val="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i/>
      <sz val="10"/>
      <color indexed="20"/>
      <name val="Arial Cyr"/>
      <family val="0"/>
    </font>
    <font>
      <sz val="5.75"/>
      <color indexed="8"/>
      <name val="Arial Cyr"/>
      <family val="0"/>
    </font>
    <font>
      <vertAlign val="superscript"/>
      <sz val="5.75"/>
      <color indexed="8"/>
      <name val="Arial Cyr"/>
      <family val="0"/>
    </font>
    <font>
      <sz val="5.5"/>
      <color indexed="8"/>
      <name val="Arial Cyr"/>
      <family val="0"/>
    </font>
    <font>
      <sz val="8"/>
      <color indexed="8"/>
      <name val="Arial Cyr"/>
      <family val="0"/>
    </font>
    <font>
      <vertAlign val="superscript"/>
      <sz val="8"/>
      <color indexed="8"/>
      <name val="Arial Cyr"/>
      <family val="0"/>
    </font>
    <font>
      <sz val="11"/>
      <color indexed="56"/>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1F497D"/>
      <name val="Times New Roman"/>
      <family val="1"/>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14"/>
        <bgColor indexed="64"/>
      </patternFill>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lightUp">
        <bgColor indexed="9"/>
      </patternFill>
    </fill>
    <fill>
      <patternFill patternType="solid">
        <fgColor rgb="FFFFFF00"/>
        <bgColor indexed="64"/>
      </patternFill>
    </fill>
  </fills>
  <borders count="30">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
      <right style="medium"/>
      <top style="medium"/>
      <bottom style="medium"/>
    </border>
    <border>
      <left style="thin"/>
      <right style="thin"/>
      <top style="thin"/>
      <bottom style="thin"/>
    </border>
    <border>
      <left style="medium"/>
      <right>
        <color indexed="63"/>
      </right>
      <top style="medium"/>
      <bottom style="medium"/>
    </border>
    <border>
      <left style="medium"/>
      <right style="medium"/>
      <top style="medium"/>
      <bottom>
        <color indexed="63"/>
      </bottom>
    </border>
    <border>
      <left style="medium"/>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style="medium"/>
      <bottom>
        <color indexed="63"/>
      </bottom>
    </border>
    <border>
      <left>
        <color indexed="63"/>
      </left>
      <right style="thin"/>
      <top>
        <color indexed="63"/>
      </top>
      <bottom>
        <color indexed="63"/>
      </bottom>
    </border>
    <border>
      <left>
        <color indexed="63"/>
      </left>
      <right style="thin"/>
      <top>
        <color indexed="63"/>
      </top>
      <bottom style="thin"/>
    </border>
    <border>
      <left style="medium"/>
      <right style="medium"/>
      <top>
        <color indexed="63"/>
      </top>
      <bottom>
        <color indexed="63"/>
      </bottom>
    </border>
    <border>
      <left>
        <color indexed="63"/>
      </left>
      <right>
        <color indexed="63"/>
      </right>
      <top style="thin"/>
      <bottom>
        <color indexed="63"/>
      </bottom>
    </border>
    <border>
      <left>
        <color indexed="63"/>
      </left>
      <right>
        <color indexed="63"/>
      </right>
      <top style="medium"/>
      <bottom style="medium"/>
    </border>
    <border>
      <left>
        <color indexed="63"/>
      </left>
      <right style="medium"/>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7" borderId="1" applyNumberFormat="0" applyAlignment="0" applyProtection="0"/>
    <xf numFmtId="0" fontId="4"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28" borderId="7" applyNumberFormat="0" applyAlignment="0" applyProtection="0"/>
    <xf numFmtId="0" fontId="52" fillId="0" borderId="0" applyNumberFormat="0" applyFill="0" applyBorder="0" applyAlignment="0" applyProtection="0"/>
    <xf numFmtId="0" fontId="53" fillId="29" borderId="0" applyNumberFormat="0" applyBorder="0" applyAlignment="0" applyProtection="0"/>
    <xf numFmtId="0" fontId="5" fillId="0" borderId="0" applyNumberFormat="0" applyFill="0" applyBorder="0" applyAlignment="0" applyProtection="0"/>
    <xf numFmtId="0" fontId="54" fillId="30" borderId="0" applyNumberFormat="0" applyBorder="0" applyAlignment="0" applyProtection="0"/>
    <xf numFmtId="0" fontId="55"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6" fillId="0" borderId="9" applyNumberFormat="0" applyFill="0" applyAlignment="0" applyProtection="0"/>
    <xf numFmtId="0" fontId="57"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8" fillId="32" borderId="0" applyNumberFormat="0" applyBorder="0" applyAlignment="0" applyProtection="0"/>
  </cellStyleXfs>
  <cellXfs count="113">
    <xf numFmtId="0" fontId="0" fillId="0" borderId="0" xfId="0" applyAlignment="1">
      <alignment/>
    </xf>
    <xf numFmtId="0" fontId="0" fillId="0" borderId="10" xfId="0" applyBorder="1" applyAlignment="1">
      <alignment/>
    </xf>
    <xf numFmtId="176" fontId="0" fillId="0" borderId="0" xfId="0" applyNumberFormat="1" applyAlignment="1">
      <alignment/>
    </xf>
    <xf numFmtId="0" fontId="0" fillId="33" borderId="0" xfId="0" applyFill="1" applyAlignment="1">
      <alignment/>
    </xf>
    <xf numFmtId="0" fontId="0" fillId="0" borderId="0" xfId="0" applyFill="1" applyAlignment="1">
      <alignment/>
    </xf>
    <xf numFmtId="177" fontId="0" fillId="0" borderId="0" xfId="0" applyNumberFormat="1" applyAlignment="1">
      <alignment/>
    </xf>
    <xf numFmtId="178" fontId="0" fillId="0" borderId="0" xfId="0" applyNumberFormat="1" applyAlignment="1">
      <alignment/>
    </xf>
    <xf numFmtId="0" fontId="0" fillId="0" borderId="0" xfId="0" applyBorder="1" applyAlignment="1">
      <alignment/>
    </xf>
    <xf numFmtId="0" fontId="2" fillId="0" borderId="10" xfId="0" applyFont="1" applyBorder="1" applyAlignment="1">
      <alignment horizontal="center"/>
    </xf>
    <xf numFmtId="0" fontId="2" fillId="0" borderId="10" xfId="0" applyFont="1" applyBorder="1" applyAlignment="1">
      <alignment horizontal="right"/>
    </xf>
    <xf numFmtId="0" fontId="2" fillId="0" borderId="0" xfId="0" applyFont="1" applyAlignment="1">
      <alignment/>
    </xf>
    <xf numFmtId="0" fontId="0" fillId="0" borderId="0" xfId="0" applyFont="1" applyBorder="1" applyAlignment="1">
      <alignment wrapText="1"/>
    </xf>
    <xf numFmtId="0" fontId="3" fillId="0" borderId="0" xfId="0" applyFont="1" applyAlignment="1">
      <alignment/>
    </xf>
    <xf numFmtId="0" fontId="0" fillId="0" borderId="11" xfId="0" applyBorder="1" applyAlignment="1">
      <alignment horizontal="center"/>
    </xf>
    <xf numFmtId="0" fontId="2" fillId="0" borderId="0" xfId="0" applyFont="1" applyFill="1" applyBorder="1" applyAlignment="1">
      <alignment horizontal="center"/>
    </xf>
    <xf numFmtId="0" fontId="2" fillId="0" borderId="12" xfId="0" applyFont="1" applyBorder="1" applyAlignment="1">
      <alignment horizontal="right"/>
    </xf>
    <xf numFmtId="0" fontId="2" fillId="0" borderId="13" xfId="0" applyFont="1" applyBorder="1" applyAlignment="1">
      <alignment horizontal="center"/>
    </xf>
    <xf numFmtId="49" fontId="0" fillId="0" borderId="0" xfId="0" applyNumberFormat="1" applyAlignment="1">
      <alignment/>
    </xf>
    <xf numFmtId="0" fontId="6" fillId="0" borderId="0" xfId="0" applyFont="1" applyAlignment="1">
      <alignment/>
    </xf>
    <xf numFmtId="0" fontId="6" fillId="0" borderId="0" xfId="0" applyFont="1" applyAlignment="1">
      <alignment horizontal="left" indent="1"/>
    </xf>
    <xf numFmtId="0" fontId="7" fillId="0" borderId="0" xfId="0" applyFont="1" applyAlignment="1">
      <alignment horizontal="left" indent="2"/>
    </xf>
    <xf numFmtId="0" fontId="6" fillId="0" borderId="0" xfId="0" applyFont="1" applyAlignment="1">
      <alignment horizontal="left" indent="2"/>
    </xf>
    <xf numFmtId="0" fontId="9" fillId="0" borderId="0" xfId="0" applyFont="1" applyAlignment="1">
      <alignment horizontal="center"/>
    </xf>
    <xf numFmtId="0" fontId="10" fillId="0" borderId="0" xfId="0" applyFont="1" applyAlignment="1">
      <alignment horizontal="left" indent="2"/>
    </xf>
    <xf numFmtId="0" fontId="9" fillId="0" borderId="0" xfId="0" applyFont="1" applyAlignment="1">
      <alignment horizontal="left" indent="2"/>
    </xf>
    <xf numFmtId="0" fontId="8" fillId="0" borderId="0" xfId="0" applyFont="1" applyAlignment="1">
      <alignment horizontal="center"/>
    </xf>
    <xf numFmtId="0" fontId="0" fillId="0" borderId="0" xfId="0" applyAlignment="1">
      <alignment wrapText="1"/>
    </xf>
    <xf numFmtId="0" fontId="2" fillId="0" borderId="0" xfId="0" applyFont="1" applyAlignment="1">
      <alignment wrapText="1"/>
    </xf>
    <xf numFmtId="179" fontId="0" fillId="0" borderId="10" xfId="0" applyNumberFormat="1" applyBorder="1" applyAlignment="1">
      <alignment horizontal="center"/>
    </xf>
    <xf numFmtId="0" fontId="11" fillId="0" borderId="0" xfId="0" applyFont="1" applyAlignment="1">
      <alignment horizontal="center" wrapText="1"/>
    </xf>
    <xf numFmtId="0" fontId="6" fillId="0" borderId="0" xfId="0" applyFont="1" applyAlignment="1">
      <alignment horizontal="center" wrapText="1"/>
    </xf>
    <xf numFmtId="0" fontId="8" fillId="0" borderId="0" xfId="0" applyFont="1" applyAlignment="1">
      <alignment horizontal="center" wrapText="1"/>
    </xf>
    <xf numFmtId="0" fontId="6" fillId="0" borderId="0" xfId="0" applyFont="1" applyAlignment="1">
      <alignment wrapText="1"/>
    </xf>
    <xf numFmtId="0" fontId="12" fillId="0" borderId="0" xfId="0" applyFont="1" applyAlignment="1">
      <alignment horizontal="center" wrapText="1"/>
    </xf>
    <xf numFmtId="0" fontId="6" fillId="0" borderId="0" xfId="0" applyFont="1" applyAlignment="1">
      <alignment horizontal="left" wrapText="1"/>
    </xf>
    <xf numFmtId="0" fontId="8" fillId="0" borderId="0" xfId="0" applyFont="1" applyAlignment="1">
      <alignment horizontal="left" wrapText="1"/>
    </xf>
    <xf numFmtId="0" fontId="9" fillId="0" borderId="0" xfId="0" applyFont="1" applyAlignment="1">
      <alignment horizontal="center" wrapText="1"/>
    </xf>
    <xf numFmtId="0" fontId="10" fillId="0" borderId="0" xfId="0" applyFont="1" applyAlignment="1">
      <alignment wrapText="1"/>
    </xf>
    <xf numFmtId="0" fontId="8" fillId="0" borderId="0" xfId="0" applyFont="1" applyAlignment="1">
      <alignment wrapText="1"/>
    </xf>
    <xf numFmtId="0" fontId="11" fillId="0" borderId="0" xfId="0" applyFont="1" applyAlignment="1">
      <alignment horizontal="left" indent="2"/>
    </xf>
    <xf numFmtId="0" fontId="0" fillId="0" borderId="11" xfId="0" applyBorder="1" applyAlignment="1">
      <alignment/>
    </xf>
    <xf numFmtId="0" fontId="0" fillId="0" borderId="14" xfId="0" applyBorder="1" applyAlignment="1">
      <alignment/>
    </xf>
    <xf numFmtId="0" fontId="2" fillId="0" borderId="14" xfId="0" applyFont="1" applyBorder="1" applyAlignment="1">
      <alignment horizontal="center"/>
    </xf>
    <xf numFmtId="0" fontId="1" fillId="0" borderId="0" xfId="0" applyFont="1" applyBorder="1" applyAlignment="1">
      <alignment wrapText="1"/>
    </xf>
    <xf numFmtId="0" fontId="0" fillId="34" borderId="0" xfId="0" applyFill="1" applyAlignment="1">
      <alignment/>
    </xf>
    <xf numFmtId="0" fontId="0" fillId="35" borderId="15" xfId="0" applyFill="1" applyBorder="1" applyAlignment="1">
      <alignment/>
    </xf>
    <xf numFmtId="0" fontId="0" fillId="35" borderId="16" xfId="0" applyFill="1" applyBorder="1" applyAlignment="1">
      <alignment/>
    </xf>
    <xf numFmtId="0" fontId="0" fillId="35" borderId="17" xfId="0" applyFill="1" applyBorder="1" applyAlignment="1">
      <alignment/>
    </xf>
    <xf numFmtId="0" fontId="0" fillId="35" borderId="18" xfId="0" applyFill="1" applyBorder="1" applyAlignment="1">
      <alignment/>
    </xf>
    <xf numFmtId="0" fontId="0" fillId="35" borderId="0" xfId="0" applyFill="1" applyBorder="1" applyAlignment="1">
      <alignment/>
    </xf>
    <xf numFmtId="0" fontId="0" fillId="35" borderId="19" xfId="0" applyFill="1" applyBorder="1" applyAlignment="1">
      <alignment/>
    </xf>
    <xf numFmtId="0" fontId="0" fillId="35" borderId="0" xfId="0" applyFont="1" applyFill="1" applyBorder="1" applyAlignment="1">
      <alignment/>
    </xf>
    <xf numFmtId="0" fontId="0" fillId="35" borderId="20" xfId="0" applyFill="1" applyBorder="1" applyAlignment="1">
      <alignment/>
    </xf>
    <xf numFmtId="0" fontId="0" fillId="35" borderId="21" xfId="0" applyFill="1" applyBorder="1" applyAlignment="1">
      <alignment/>
    </xf>
    <xf numFmtId="0" fontId="0" fillId="35" borderId="22" xfId="0" applyFill="1" applyBorder="1" applyAlignment="1">
      <alignment/>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0" fillId="36" borderId="18" xfId="0"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13" fillId="0" borderId="0" xfId="0" applyFont="1" applyAlignment="1">
      <alignment/>
    </xf>
    <xf numFmtId="0" fontId="1" fillId="0" borderId="10" xfId="0" applyFont="1" applyBorder="1" applyAlignment="1">
      <alignment horizontal="center" vertical="center" wrapText="1"/>
    </xf>
    <xf numFmtId="0" fontId="0" fillId="0" borderId="10" xfId="0" applyBorder="1" applyAlignment="1">
      <alignment horizontal="center"/>
    </xf>
    <xf numFmtId="0" fontId="2" fillId="0" borderId="0" xfId="0" applyFont="1" applyBorder="1" applyAlignment="1">
      <alignment/>
    </xf>
    <xf numFmtId="0" fontId="1" fillId="0" borderId="0" xfId="0" applyFont="1" applyFill="1" applyBorder="1" applyAlignment="1">
      <alignment/>
    </xf>
    <xf numFmtId="0" fontId="0" fillId="0" borderId="0" xfId="0" applyFill="1" applyBorder="1" applyAlignment="1">
      <alignment/>
    </xf>
    <xf numFmtId="0" fontId="2" fillId="0" borderId="0" xfId="0" applyFont="1" applyFill="1" applyBorder="1" applyAlignment="1">
      <alignment horizontal="right"/>
    </xf>
    <xf numFmtId="180" fontId="0" fillId="0" borderId="0" xfId="0" applyNumberFormat="1" applyBorder="1" applyAlignment="1">
      <alignment horizontal="center"/>
    </xf>
    <xf numFmtId="0" fontId="1" fillId="0" borderId="0" xfId="0" applyFont="1" applyBorder="1" applyAlignment="1">
      <alignment/>
    </xf>
    <xf numFmtId="0" fontId="0" fillId="36" borderId="0" xfId="0" applyFill="1" applyAlignment="1">
      <alignment/>
    </xf>
    <xf numFmtId="0" fontId="0" fillId="37" borderId="0" xfId="0" applyFill="1" applyAlignment="1">
      <alignment/>
    </xf>
    <xf numFmtId="0" fontId="1" fillId="0" borderId="0" xfId="0" applyNumberFormat="1" applyFont="1" applyAlignment="1">
      <alignment/>
    </xf>
    <xf numFmtId="0" fontId="0" fillId="0" borderId="10" xfId="0" applyBorder="1" applyAlignment="1" applyProtection="1">
      <alignment/>
      <protection hidden="1"/>
    </xf>
    <xf numFmtId="0" fontId="2" fillId="0" borderId="10" xfId="0" applyFont="1" applyBorder="1" applyAlignment="1" applyProtection="1">
      <alignment horizontal="center"/>
      <protection hidden="1"/>
    </xf>
    <xf numFmtId="0" fontId="2" fillId="0" borderId="10" xfId="0" applyFont="1" applyBorder="1" applyAlignment="1" applyProtection="1">
      <alignment horizontal="right"/>
      <protection hidden="1"/>
    </xf>
    <xf numFmtId="2" fontId="0" fillId="0" borderId="10" xfId="0" applyNumberFormat="1" applyBorder="1" applyAlignment="1" applyProtection="1">
      <alignment horizontal="center"/>
      <protection hidden="1"/>
    </xf>
    <xf numFmtId="180" fontId="0" fillId="0" borderId="0" xfId="0" applyNumberFormat="1"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2" fontId="0" fillId="38" borderId="13" xfId="0" applyNumberFormat="1" applyFill="1" applyBorder="1" applyAlignment="1" applyProtection="1">
      <alignment horizontal="center"/>
      <protection hidden="1"/>
    </xf>
    <xf numFmtId="2" fontId="0" fillId="38" borderId="26" xfId="0" applyNumberFormat="1" applyFill="1" applyBorder="1" applyAlignment="1" applyProtection="1">
      <alignment horizontal="center"/>
      <protection hidden="1"/>
    </xf>
    <xf numFmtId="2" fontId="0" fillId="38" borderId="14" xfId="0" applyNumberFormat="1" applyFill="1" applyBorder="1" applyAlignment="1" applyProtection="1">
      <alignment horizontal="center"/>
      <protection hidden="1"/>
    </xf>
    <xf numFmtId="0" fontId="2" fillId="0" borderId="15" xfId="0" applyFont="1" applyBorder="1" applyAlignment="1">
      <alignment horizontal="center"/>
    </xf>
    <xf numFmtId="0" fontId="2" fillId="0" borderId="12" xfId="0" applyFont="1" applyBorder="1" applyAlignment="1" applyProtection="1">
      <alignment horizontal="center"/>
      <protection hidden="1"/>
    </xf>
    <xf numFmtId="2" fontId="0" fillId="38" borderId="15" xfId="0" applyNumberFormat="1" applyFill="1" applyBorder="1" applyAlignment="1" applyProtection="1">
      <alignment horizontal="center"/>
      <protection hidden="1"/>
    </xf>
    <xf numFmtId="2" fontId="0" fillId="38" borderId="18" xfId="0" applyNumberFormat="1" applyFill="1" applyBorder="1" applyAlignment="1" applyProtection="1">
      <alignment horizontal="center"/>
      <protection hidden="1"/>
    </xf>
    <xf numFmtId="0" fontId="0" fillId="0" borderId="18" xfId="0" applyBorder="1" applyAlignment="1">
      <alignment/>
    </xf>
    <xf numFmtId="2" fontId="0" fillId="38" borderId="20" xfId="0" applyNumberFormat="1" applyFill="1" applyBorder="1" applyAlignment="1" applyProtection="1">
      <alignment horizontal="center"/>
      <protection hidden="1"/>
    </xf>
    <xf numFmtId="2" fontId="0" fillId="0" borderId="18" xfId="0" applyNumberFormat="1" applyBorder="1" applyAlignment="1">
      <alignment horizontal="center"/>
    </xf>
    <xf numFmtId="180" fontId="0" fillId="0" borderId="0" xfId="0" applyNumberFormat="1" applyFill="1" applyBorder="1" applyAlignment="1">
      <alignment horizontal="center"/>
    </xf>
    <xf numFmtId="0" fontId="0" fillId="0" borderId="27" xfId="0" applyBorder="1" applyAlignment="1">
      <alignment/>
    </xf>
    <xf numFmtId="0" fontId="0" fillId="0" borderId="0" xfId="0" applyFont="1" applyFill="1" applyBorder="1" applyAlignment="1">
      <alignment/>
    </xf>
    <xf numFmtId="0" fontId="0" fillId="0" borderId="0" xfId="0" applyFont="1" applyBorder="1" applyAlignment="1">
      <alignment/>
    </xf>
    <xf numFmtId="0" fontId="1" fillId="0" borderId="10" xfId="0" applyFont="1" applyBorder="1" applyAlignment="1">
      <alignment horizontal="center"/>
    </xf>
    <xf numFmtId="0" fontId="14" fillId="0" borderId="0" xfId="0" applyFont="1" applyBorder="1" applyAlignment="1">
      <alignment/>
    </xf>
    <xf numFmtId="0" fontId="15" fillId="0" borderId="0" xfId="0" applyFont="1" applyAlignment="1">
      <alignment horizontal="center" wrapText="1"/>
    </xf>
    <xf numFmtId="0" fontId="9" fillId="0" borderId="0" xfId="0" applyFont="1" applyAlignment="1">
      <alignment wrapText="1"/>
    </xf>
    <xf numFmtId="0" fontId="4" fillId="0" borderId="0" xfId="42" applyAlignment="1" applyProtection="1">
      <alignment wrapText="1"/>
      <protection/>
    </xf>
    <xf numFmtId="0" fontId="1" fillId="0" borderId="10" xfId="0" applyFont="1" applyBorder="1" applyAlignment="1" applyProtection="1">
      <alignment/>
      <protection/>
    </xf>
    <xf numFmtId="0" fontId="1" fillId="0" borderId="10" xfId="0" applyFont="1" applyFill="1" applyBorder="1" applyAlignment="1">
      <alignment horizontal="center"/>
    </xf>
    <xf numFmtId="0" fontId="1" fillId="0" borderId="12" xfId="0" applyFont="1" applyFill="1" applyBorder="1" applyAlignment="1">
      <alignment horizontal="center"/>
    </xf>
    <xf numFmtId="0" fontId="1" fillId="0" borderId="12" xfId="0" applyFont="1" applyFill="1" applyBorder="1" applyAlignment="1" applyProtection="1">
      <alignment horizontal="center"/>
      <protection hidden="1"/>
    </xf>
    <xf numFmtId="0" fontId="1" fillId="0" borderId="28" xfId="0" applyFont="1" applyFill="1" applyBorder="1" applyAlignment="1" applyProtection="1">
      <alignment horizontal="center"/>
      <protection hidden="1"/>
    </xf>
    <xf numFmtId="0" fontId="1" fillId="0" borderId="12" xfId="0" applyFont="1" applyBorder="1" applyAlignment="1">
      <alignment horizontal="center" vertical="center" wrapText="1"/>
    </xf>
    <xf numFmtId="0" fontId="1" fillId="0" borderId="29" xfId="0" applyFont="1" applyBorder="1" applyAlignment="1">
      <alignment horizontal="center" vertical="center" wrapText="1"/>
    </xf>
    <xf numFmtId="0" fontId="59" fillId="0" borderId="0" xfId="0" applyFont="1" applyAlignment="1">
      <alignment/>
    </xf>
    <xf numFmtId="0" fontId="1" fillId="0" borderId="0" xfId="0" applyFont="1" applyAlignment="1">
      <alignment/>
    </xf>
    <xf numFmtId="0" fontId="0" fillId="39" borderId="0" xfId="0" applyFill="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dxfs count="4">
    <dxf>
      <fill>
        <patternFill>
          <bgColor indexed="42"/>
        </patternFill>
      </fill>
    </dxf>
    <dxf>
      <fill>
        <patternFill>
          <bgColor indexed="42"/>
        </patternFill>
      </fill>
    </dxf>
    <dxf>
      <fill>
        <patternFill>
          <bgColor indexed="47"/>
        </patternFill>
      </fill>
    </dxf>
    <dxf>
      <fill>
        <patternFill>
          <bgColor indexed="42"/>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51550888"/>
        <c:axId val="61304809"/>
      </c:scatterChart>
      <c:valAx>
        <c:axId val="51550888"/>
        <c:scaling>
          <c:orientation val="minMax"/>
        </c:scaling>
        <c:axPos val="b"/>
        <c:delete val="0"/>
        <c:numFmt formatCode="General" sourceLinked="1"/>
        <c:majorTickMark val="out"/>
        <c:minorTickMark val="none"/>
        <c:tickLblPos val="nextTo"/>
        <c:spPr>
          <a:ln w="3175">
            <a:solidFill>
              <a:srgbClr val="000000"/>
            </a:solidFill>
          </a:ln>
        </c:spPr>
        <c:crossAx val="61304809"/>
        <c:crosses val="autoZero"/>
        <c:crossBetween val="midCat"/>
        <c:dispUnits/>
      </c:valAx>
      <c:valAx>
        <c:axId val="6130480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5155088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875"/>
          <c:y val="0.058"/>
          <c:w val="0.908"/>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xVal>
            <c:numRef>
              <c:f>Рабочий!$C$20:$C$31</c:f>
              <c:numCache/>
            </c:numRef>
          </c:xVal>
          <c:yVal>
            <c:numRef>
              <c:f>Рабочий!$D$20:$D$31</c:f>
              <c:numCache/>
            </c:numRef>
          </c:yVal>
          <c:smooth val="1"/>
        </c:ser>
        <c:axId val="6843394"/>
        <c:axId val="61590547"/>
      </c:scatterChart>
      <c:valAx>
        <c:axId val="6843394"/>
        <c:scaling>
          <c:orientation val="minMax"/>
        </c:scaling>
        <c:axPos val="b"/>
        <c:delete val="0"/>
        <c:numFmt formatCode="General" sourceLinked="1"/>
        <c:majorTickMark val="out"/>
        <c:minorTickMark val="none"/>
        <c:tickLblPos val="nextTo"/>
        <c:spPr>
          <a:ln w="3175">
            <a:solidFill>
              <a:srgbClr val="000000"/>
            </a:solidFill>
          </a:ln>
        </c:spPr>
        <c:crossAx val="61590547"/>
        <c:crosses val="autoZero"/>
        <c:crossBetween val="midCat"/>
        <c:dispUnits/>
      </c:valAx>
      <c:valAx>
        <c:axId val="6159054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84339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4872370"/>
        <c:axId val="66742467"/>
      </c:scatterChart>
      <c:valAx>
        <c:axId val="14872370"/>
        <c:scaling>
          <c:orientation val="minMax"/>
        </c:scaling>
        <c:axPos val="b"/>
        <c:delete val="0"/>
        <c:numFmt formatCode="General" sourceLinked="1"/>
        <c:majorTickMark val="out"/>
        <c:minorTickMark val="none"/>
        <c:tickLblPos val="nextTo"/>
        <c:spPr>
          <a:ln w="3175">
            <a:solidFill>
              <a:srgbClr val="000000"/>
            </a:solidFill>
          </a:ln>
        </c:spPr>
        <c:crossAx val="66742467"/>
        <c:crosses val="autoZero"/>
        <c:crossBetween val="midCat"/>
        <c:dispUnits/>
      </c:valAx>
      <c:valAx>
        <c:axId val="667424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487237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63811292"/>
        <c:axId val="37430717"/>
      </c:scatterChart>
      <c:valAx>
        <c:axId val="63811292"/>
        <c:scaling>
          <c:orientation val="minMax"/>
        </c:scaling>
        <c:axPos val="b"/>
        <c:delete val="0"/>
        <c:numFmt formatCode="General" sourceLinked="1"/>
        <c:majorTickMark val="out"/>
        <c:minorTickMark val="none"/>
        <c:tickLblPos val="nextTo"/>
        <c:spPr>
          <a:ln w="3175">
            <a:solidFill>
              <a:srgbClr val="000000"/>
            </a:solidFill>
          </a:ln>
        </c:spPr>
        <c:crossAx val="37430717"/>
        <c:crosses val="autoZero"/>
        <c:crossBetween val="midCat"/>
        <c:dispUnits/>
      </c:valAx>
      <c:valAx>
        <c:axId val="3743071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63811292"/>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4575"/>
          <c:y val="0.084"/>
          <c:w val="0.916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0"/>
            <c:dispRSqr val="1"/>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332134"/>
        <c:axId val="11989207"/>
      </c:scatterChart>
      <c:valAx>
        <c:axId val="1332134"/>
        <c:scaling>
          <c:orientation val="minMax"/>
        </c:scaling>
        <c:axPos val="b"/>
        <c:delete val="0"/>
        <c:numFmt formatCode="General" sourceLinked="1"/>
        <c:majorTickMark val="out"/>
        <c:minorTickMark val="none"/>
        <c:tickLblPos val="nextTo"/>
        <c:spPr>
          <a:ln w="3175">
            <a:solidFill>
              <a:srgbClr val="000000"/>
            </a:solidFill>
          </a:ln>
        </c:spPr>
        <c:crossAx val="11989207"/>
        <c:crosses val="autoZero"/>
        <c:crossBetween val="midCat"/>
        <c:dispUnits/>
      </c:valAx>
      <c:valAx>
        <c:axId val="1198920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33213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95"/>
          <c:y val="0.04425"/>
          <c:w val="0.908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ser>
          <c:idx val="0"/>
          <c:order val="1"/>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1"/>
            <c:dispRSqr val="0"/>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40794000"/>
        <c:axId val="31601681"/>
      </c:scatterChart>
      <c:valAx>
        <c:axId val="40794000"/>
        <c:scaling>
          <c:orientation val="minMax"/>
        </c:scaling>
        <c:axPos val="b"/>
        <c:delete val="0"/>
        <c:numFmt formatCode="General" sourceLinked="1"/>
        <c:majorTickMark val="out"/>
        <c:minorTickMark val="none"/>
        <c:tickLblPos val="nextTo"/>
        <c:spPr>
          <a:ln w="3175">
            <a:solidFill>
              <a:srgbClr val="000000"/>
            </a:solidFill>
          </a:ln>
        </c:spPr>
        <c:crossAx val="31601681"/>
        <c:crosses val="autoZero"/>
        <c:crossBetween val="midCat"/>
        <c:dispUnits/>
      </c:valAx>
      <c:valAx>
        <c:axId val="31601681"/>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40794000"/>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6"/>
          <c:y val="0.058"/>
          <c:w val="0.91525"/>
          <c:h val="0.92"/>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5"/>
            <c:dispEq val="1"/>
            <c:dispRSqr val="0"/>
            <c:trendlineLbl>
              <c:layout>
                <c:manualLayout>
                  <c:x val="0"/>
                  <c:y val="0"/>
                </c:manualLayout>
              </c:layout>
              <c:txPr>
                <a:bodyPr vert="horz" rot="0" anchor="ctr"/>
                <a:lstStyle/>
                <a:p>
                  <a:pPr algn="ctr">
                    <a:defRPr lang="en-US" cap="none" sz="80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5979674"/>
        <c:axId val="9599339"/>
      </c:scatterChart>
      <c:valAx>
        <c:axId val="15979674"/>
        <c:scaling>
          <c:orientation val="minMax"/>
        </c:scaling>
        <c:axPos val="b"/>
        <c:delete val="0"/>
        <c:numFmt formatCode="General" sourceLinked="1"/>
        <c:majorTickMark val="out"/>
        <c:minorTickMark val="none"/>
        <c:tickLblPos val="nextTo"/>
        <c:spPr>
          <a:ln w="3175">
            <a:solidFill>
              <a:srgbClr val="000000"/>
            </a:solidFill>
          </a:ln>
        </c:spPr>
        <c:crossAx val="9599339"/>
        <c:crosses val="autoZero"/>
        <c:crossBetween val="midCat"/>
        <c:dispUnits/>
      </c:valAx>
      <c:valAx>
        <c:axId val="9599339"/>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5979674"/>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800" b="0" i="0" u="none" baseline="0">
          <a:solidFill>
            <a:srgbClr val="000000"/>
          </a:solidFill>
          <a:latin typeface="Arial Cyr"/>
          <a:ea typeface="Arial Cyr"/>
          <a:cs typeface="Arial Cyr"/>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5"/>
          <c:y val="0.084"/>
          <c:w val="0.9067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9285188"/>
        <c:axId val="39348965"/>
      </c:scatterChart>
      <c:valAx>
        <c:axId val="19285188"/>
        <c:scaling>
          <c:orientation val="minMax"/>
        </c:scaling>
        <c:axPos val="b"/>
        <c:delete val="0"/>
        <c:numFmt formatCode="General" sourceLinked="1"/>
        <c:majorTickMark val="out"/>
        <c:minorTickMark val="none"/>
        <c:tickLblPos val="nextTo"/>
        <c:spPr>
          <a:ln w="3175">
            <a:solidFill>
              <a:srgbClr val="000000"/>
            </a:solidFill>
          </a:ln>
        </c:spPr>
        <c:crossAx val="39348965"/>
        <c:crosses val="autoZero"/>
        <c:crossBetween val="midCat"/>
        <c:dispUnits/>
      </c:valAx>
      <c:valAx>
        <c:axId val="39348965"/>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928518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9"/>
          <c:y val="0.05825"/>
          <c:w val="0.9075"/>
          <c:h val="0.91975"/>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2"/>
            <c:dispEq val="1"/>
            <c:dispRSqr val="0"/>
            <c:trendlineLbl>
              <c:layout>
                <c:manualLayout>
                  <c:x val="0"/>
                  <c:y val="0"/>
                </c:manualLayout>
              </c:layout>
              <c:txPr>
                <a:bodyPr vert="horz" rot="0" anchor="ctr"/>
                <a:lstStyle/>
                <a:p>
                  <a:pPr algn="ctr">
                    <a:defRPr lang="en-US" cap="none" sz="550"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18596366"/>
        <c:axId val="33149567"/>
      </c:scatterChart>
      <c:valAx>
        <c:axId val="18596366"/>
        <c:scaling>
          <c:orientation val="minMax"/>
        </c:scaling>
        <c:axPos val="b"/>
        <c:delete val="0"/>
        <c:numFmt formatCode="General" sourceLinked="1"/>
        <c:majorTickMark val="out"/>
        <c:minorTickMark val="none"/>
        <c:tickLblPos val="nextTo"/>
        <c:spPr>
          <a:ln w="3175">
            <a:solidFill>
              <a:srgbClr val="000000"/>
            </a:solidFill>
          </a:ln>
        </c:spPr>
        <c:crossAx val="33149567"/>
        <c:crosses val="autoZero"/>
        <c:crossBetween val="midCat"/>
        <c:dispUnits/>
      </c:valAx>
      <c:valAx>
        <c:axId val="3314956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18596366"/>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50" b="0" i="0" u="none" baseline="0">
          <a:solidFill>
            <a:srgbClr val="000000"/>
          </a:solidFill>
          <a:latin typeface="Arial Cyr"/>
          <a:ea typeface="Arial Cyr"/>
          <a:cs typeface="Arial Cyr"/>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025"/>
          <c:y val="0.084"/>
          <c:w val="0.90725"/>
          <c:h val="0.916"/>
        </c:manualLayout>
      </c:layout>
      <c:scatterChart>
        <c:scatterStyle val="smoothMarker"/>
        <c:varyColors val="0"/>
        <c:ser>
          <c:idx val="0"/>
          <c:order val="0"/>
          <c:spPr>
            <a:ln w="127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000080"/>
              </a:solidFill>
              <a:ln>
                <a:solidFill>
                  <a:srgbClr val="000080"/>
                </a:solidFill>
              </a:ln>
            </c:spPr>
          </c:marker>
          <c:trendline>
            <c:spPr>
              <a:ln w="25400">
                <a:solidFill>
                  <a:srgbClr val="000000"/>
                </a:solidFill>
              </a:ln>
            </c:spPr>
            <c:trendlineType val="poly"/>
            <c:order val="3"/>
            <c:dispEq val="0"/>
            <c:dispRSqr val="1"/>
            <c:trendlineLbl>
              <c:layout>
                <c:manualLayout>
                  <c:x val="0"/>
                  <c:y val="0"/>
                </c:manualLayout>
              </c:layout>
              <c:txPr>
                <a:bodyPr vert="horz" rot="0" anchor="ctr"/>
                <a:lstStyle/>
                <a:p>
                  <a:pPr algn="ctr">
                    <a:defRPr lang="en-US" cap="none" sz="575" b="0" i="0" u="none" baseline="0">
                      <a:solidFill>
                        <a:srgbClr val="000000"/>
                      </a:solidFill>
                      <a:latin typeface="Arial Cyr"/>
                      <a:ea typeface="Arial Cyr"/>
                      <a:cs typeface="Arial Cyr"/>
                    </a:defRPr>
                  </a:pPr>
                </a:p>
              </c:txPr>
              <c:numFmt formatCode="General"/>
            </c:trendlineLbl>
          </c:trendline>
          <c:xVal>
            <c:numRef>
              <c:f>Рабочий!$C$20:$C$31</c:f>
              <c:numCache/>
            </c:numRef>
          </c:xVal>
          <c:yVal>
            <c:numRef>
              <c:f>Рабочий!$D$20:$D$31</c:f>
              <c:numCache/>
            </c:numRef>
          </c:yVal>
          <c:smooth val="1"/>
        </c:ser>
        <c:axId val="29910648"/>
        <c:axId val="760377"/>
      </c:scatterChart>
      <c:valAx>
        <c:axId val="29910648"/>
        <c:scaling>
          <c:orientation val="minMax"/>
        </c:scaling>
        <c:axPos val="b"/>
        <c:delete val="0"/>
        <c:numFmt formatCode="General" sourceLinked="1"/>
        <c:majorTickMark val="out"/>
        <c:minorTickMark val="none"/>
        <c:tickLblPos val="nextTo"/>
        <c:spPr>
          <a:ln w="3175">
            <a:solidFill>
              <a:srgbClr val="000000"/>
            </a:solidFill>
          </a:ln>
        </c:spPr>
        <c:crossAx val="760377"/>
        <c:crosses val="autoZero"/>
        <c:crossBetween val="midCat"/>
        <c:dispUnits/>
      </c:valAx>
      <c:valAx>
        <c:axId val="760377"/>
        <c:scaling>
          <c:orientation val="minMax"/>
        </c:scaling>
        <c:axPos val="l"/>
        <c:majorGridlines>
          <c:spPr>
            <a:ln w="3175">
              <a:solidFill>
                <a:srgbClr val="000000"/>
              </a:solidFill>
            </a:ln>
          </c:spPr>
        </c:majorGridlines>
        <c:delete val="0"/>
        <c:numFmt formatCode="General" sourceLinked="1"/>
        <c:majorTickMark val="out"/>
        <c:minorTickMark val="none"/>
        <c:tickLblPos val="nextTo"/>
        <c:spPr>
          <a:ln w="3175">
            <a:solidFill>
              <a:srgbClr val="000000"/>
            </a:solidFill>
          </a:ln>
        </c:spPr>
        <c:crossAx val="29910648"/>
        <c:crosses val="autoZero"/>
        <c:crossBetween val="midCat"/>
        <c:dispUnits/>
      </c:valAx>
      <c:spPr>
        <a:noFill/>
        <a:ln w="12700">
          <a:solidFill>
            <a:srgbClr val="808080"/>
          </a:solidFill>
        </a:ln>
      </c:spPr>
    </c:plotArea>
    <c:plotVisOnly val="1"/>
    <c:dispBlanksAs val="gap"/>
    <c:showDLblsOverMax val="0"/>
  </c:chart>
  <c:spPr>
    <a:solidFill>
      <a:srgbClr val="FFFFFF"/>
    </a:solidFill>
    <a:ln w="3175">
      <a:solidFill>
        <a:srgbClr val="000000"/>
      </a:solidFill>
    </a:ln>
  </c:spPr>
  <c:txPr>
    <a:bodyPr vert="horz" rot="0"/>
    <a:lstStyle/>
    <a:p>
      <a:pPr>
        <a:defRPr lang="en-US" cap="none" sz="575" b="0" i="0" u="none" baseline="0">
          <a:solidFill>
            <a:srgbClr val="000000"/>
          </a:solidFill>
          <a:latin typeface="Arial Cyr"/>
          <a:ea typeface="Arial Cyr"/>
          <a:cs typeface="Arial Cyr"/>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 Id="rId3" Type="http://schemas.openxmlformats.org/officeDocument/2006/relationships/image" Target="../media/image3.png" /><Relationship Id="rId4"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 Id="rId9" Type="http://schemas.openxmlformats.org/officeDocument/2006/relationships/chart" Target="/xl/charts/chart9.xml" /><Relationship Id="rId10"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800100</xdr:colOff>
      <xdr:row>60</xdr:row>
      <xdr:rowOff>238125</xdr:rowOff>
    </xdr:from>
    <xdr:to>
      <xdr:col>1</xdr:col>
      <xdr:colOff>7581900</xdr:colOff>
      <xdr:row>62</xdr:row>
      <xdr:rowOff>9525</xdr:rowOff>
    </xdr:to>
    <xdr:pic>
      <xdr:nvPicPr>
        <xdr:cNvPr id="1" name="Picture 1"/>
        <xdr:cNvPicPr preferRelativeResize="1">
          <a:picLocks noChangeAspect="1"/>
        </xdr:cNvPicPr>
      </xdr:nvPicPr>
      <xdr:blipFill>
        <a:blip r:embed="rId1"/>
        <a:stretch>
          <a:fillRect/>
        </a:stretch>
      </xdr:blipFill>
      <xdr:spPr>
        <a:xfrm>
          <a:off x="1343025" y="13944600"/>
          <a:ext cx="6781800" cy="3581400"/>
        </a:xfrm>
        <a:prstGeom prst="rect">
          <a:avLst/>
        </a:prstGeom>
        <a:solidFill>
          <a:srgbClr val="FFFFFF"/>
        </a:solidFill>
        <a:ln w="9525" cmpd="sng">
          <a:noFill/>
        </a:ln>
      </xdr:spPr>
    </xdr:pic>
    <xdr:clientData/>
  </xdr:twoCellAnchor>
  <xdr:twoCellAnchor>
    <xdr:from>
      <xdr:col>1</xdr:col>
      <xdr:colOff>1000125</xdr:colOff>
      <xdr:row>78</xdr:row>
      <xdr:rowOff>171450</xdr:rowOff>
    </xdr:from>
    <xdr:to>
      <xdr:col>1</xdr:col>
      <xdr:colOff>7791450</xdr:colOff>
      <xdr:row>78</xdr:row>
      <xdr:rowOff>2828925</xdr:rowOff>
    </xdr:to>
    <xdr:pic>
      <xdr:nvPicPr>
        <xdr:cNvPr id="2" name="Picture 2"/>
        <xdr:cNvPicPr preferRelativeResize="1">
          <a:picLocks noChangeAspect="1"/>
        </xdr:cNvPicPr>
      </xdr:nvPicPr>
      <xdr:blipFill>
        <a:blip r:embed="rId2"/>
        <a:stretch>
          <a:fillRect/>
        </a:stretch>
      </xdr:blipFill>
      <xdr:spPr>
        <a:xfrm>
          <a:off x="1543050" y="23079075"/>
          <a:ext cx="6791325" cy="2667000"/>
        </a:xfrm>
        <a:prstGeom prst="rect">
          <a:avLst/>
        </a:prstGeom>
        <a:solidFill>
          <a:srgbClr val="FFFFFF"/>
        </a:solidFill>
        <a:ln w="9525" cmpd="sng">
          <a:noFill/>
        </a:ln>
      </xdr:spPr>
    </xdr:pic>
    <xdr:clientData/>
  </xdr:twoCellAnchor>
  <xdr:twoCellAnchor>
    <xdr:from>
      <xdr:col>1</xdr:col>
      <xdr:colOff>781050</xdr:colOff>
      <xdr:row>82</xdr:row>
      <xdr:rowOff>28575</xdr:rowOff>
    </xdr:from>
    <xdr:to>
      <xdr:col>1</xdr:col>
      <xdr:colOff>7572375</xdr:colOff>
      <xdr:row>82</xdr:row>
      <xdr:rowOff>3228975</xdr:rowOff>
    </xdr:to>
    <xdr:pic>
      <xdr:nvPicPr>
        <xdr:cNvPr id="3" name="Picture 6"/>
        <xdr:cNvPicPr preferRelativeResize="1">
          <a:picLocks noChangeAspect="1"/>
        </xdr:cNvPicPr>
      </xdr:nvPicPr>
      <xdr:blipFill>
        <a:blip r:embed="rId3"/>
        <a:stretch>
          <a:fillRect/>
        </a:stretch>
      </xdr:blipFill>
      <xdr:spPr>
        <a:xfrm>
          <a:off x="1323975" y="27060525"/>
          <a:ext cx="6781800" cy="3209925"/>
        </a:xfrm>
        <a:prstGeom prst="rect">
          <a:avLst/>
        </a:prstGeom>
        <a:noFill/>
        <a:ln w="9525" cmpd="sng">
          <a:noFill/>
        </a:ln>
      </xdr:spPr>
    </xdr:pic>
    <xdr:clientData/>
  </xdr:twoCellAnchor>
  <xdr:twoCellAnchor>
    <xdr:from>
      <xdr:col>1</xdr:col>
      <xdr:colOff>771525</xdr:colOff>
      <xdr:row>86</xdr:row>
      <xdr:rowOff>161925</xdr:rowOff>
    </xdr:from>
    <xdr:to>
      <xdr:col>1</xdr:col>
      <xdr:colOff>7572375</xdr:colOff>
      <xdr:row>86</xdr:row>
      <xdr:rowOff>3448050</xdr:rowOff>
    </xdr:to>
    <xdr:pic>
      <xdr:nvPicPr>
        <xdr:cNvPr id="4" name="Picture 5"/>
        <xdr:cNvPicPr preferRelativeResize="1">
          <a:picLocks noChangeAspect="1"/>
        </xdr:cNvPicPr>
      </xdr:nvPicPr>
      <xdr:blipFill>
        <a:blip r:embed="rId4"/>
        <a:stretch>
          <a:fillRect/>
        </a:stretch>
      </xdr:blipFill>
      <xdr:spPr>
        <a:xfrm>
          <a:off x="1314450" y="31746825"/>
          <a:ext cx="6800850" cy="3286125"/>
        </a:xfrm>
        <a:prstGeom prst="rect">
          <a:avLst/>
        </a:prstGeom>
        <a:solidFill>
          <a:srgbClr val="FFFFFF"/>
        </a:solid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95250</xdr:colOff>
      <xdr:row>0</xdr:row>
      <xdr:rowOff>66675</xdr:rowOff>
    </xdr:from>
    <xdr:to>
      <xdr:col>20</xdr:col>
      <xdr:colOff>152400</xdr:colOff>
      <xdr:row>2</xdr:row>
      <xdr:rowOff>9525</xdr:rowOff>
    </xdr:to>
    <xdr:sp macro="[0]!Поле3_Щелкнуть">
      <xdr:nvSpPr>
        <xdr:cNvPr id="1" name="Text Box 6"/>
        <xdr:cNvSpPr txBox="1">
          <a:spLocks noChangeArrowheads="1"/>
        </xdr:cNvSpPr>
      </xdr:nvSpPr>
      <xdr:spPr>
        <a:xfrm>
          <a:off x="8020050" y="66675"/>
          <a:ext cx="4171950" cy="352425"/>
        </a:xfrm>
        <a:prstGeom prst="rect">
          <a:avLst/>
        </a:prstGeom>
        <a:solidFill>
          <a:srgbClr val="FFFFFF"/>
        </a:solidFill>
        <a:ln w="9525" cmpd="sng">
          <a:noFill/>
        </a:ln>
      </xdr:spPr>
      <xdr:txBody>
        <a:bodyPr vertOverflow="clip" wrap="square" lIns="27432" tIns="22860" rIns="0" bIns="0"/>
        <a:p>
          <a:pPr algn="l">
            <a:defRPr/>
          </a:pPr>
          <a:r>
            <a:rPr lang="en-US" cap="none" sz="1000" b="0" i="1" u="none" baseline="0">
              <a:solidFill>
                <a:srgbClr val="800080"/>
              </a:solidFill>
              <a:latin typeface="Arial Cyr"/>
              <a:ea typeface="Arial Cyr"/>
              <a:cs typeface="Arial Cyr"/>
            </a:rPr>
            <a:t>Если Вы вставляете данные с другим разделителем дробной и целой частей числа...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438150</xdr:colOff>
      <xdr:row>10</xdr:row>
      <xdr:rowOff>114300</xdr:rowOff>
    </xdr:from>
    <xdr:to>
      <xdr:col>16</xdr:col>
      <xdr:colOff>28575</xdr:colOff>
      <xdr:row>25</xdr:row>
      <xdr:rowOff>66675</xdr:rowOff>
    </xdr:to>
    <xdr:graphicFrame>
      <xdr:nvGraphicFramePr>
        <xdr:cNvPr id="1" name="Диаграмма 4"/>
        <xdr:cNvGraphicFramePr/>
      </xdr:nvGraphicFramePr>
      <xdr:xfrm>
        <a:off x="10934700" y="1924050"/>
        <a:ext cx="2333625" cy="2667000"/>
      </xdr:xfrm>
      <a:graphic>
        <a:graphicData uri="http://schemas.openxmlformats.org/drawingml/2006/chart">
          <c:chart xmlns:c="http://schemas.openxmlformats.org/drawingml/2006/chart" r:id="rId1"/>
        </a:graphicData>
      </a:graphic>
    </xdr:graphicFrame>
    <xdr:clientData/>
  </xdr:twoCellAnchor>
  <xdr:twoCellAnchor>
    <xdr:from>
      <xdr:col>12</xdr:col>
      <xdr:colOff>438150</xdr:colOff>
      <xdr:row>25</xdr:row>
      <xdr:rowOff>152400</xdr:rowOff>
    </xdr:from>
    <xdr:to>
      <xdr:col>16</xdr:col>
      <xdr:colOff>19050</xdr:colOff>
      <xdr:row>40</xdr:row>
      <xdr:rowOff>95250</xdr:rowOff>
    </xdr:to>
    <xdr:graphicFrame>
      <xdr:nvGraphicFramePr>
        <xdr:cNvPr id="2" name="Диаграмма 5"/>
        <xdr:cNvGraphicFramePr/>
      </xdr:nvGraphicFramePr>
      <xdr:xfrm>
        <a:off x="10934700" y="4676775"/>
        <a:ext cx="2324100" cy="2657475"/>
      </xdr:xfrm>
      <a:graphic>
        <a:graphicData uri="http://schemas.openxmlformats.org/drawingml/2006/chart">
          <c:chart xmlns:c="http://schemas.openxmlformats.org/drawingml/2006/chart" r:id="rId2"/>
        </a:graphicData>
      </a:graphic>
    </xdr:graphicFrame>
    <xdr:clientData/>
  </xdr:twoCellAnchor>
  <xdr:twoCellAnchor>
    <xdr:from>
      <xdr:col>16</xdr:col>
      <xdr:colOff>323850</xdr:colOff>
      <xdr:row>10</xdr:row>
      <xdr:rowOff>114300</xdr:rowOff>
    </xdr:from>
    <xdr:to>
      <xdr:col>19</xdr:col>
      <xdr:colOff>609600</xdr:colOff>
      <xdr:row>25</xdr:row>
      <xdr:rowOff>76200</xdr:rowOff>
    </xdr:to>
    <xdr:graphicFrame>
      <xdr:nvGraphicFramePr>
        <xdr:cNvPr id="3" name="Диаграмма 27"/>
        <xdr:cNvGraphicFramePr/>
      </xdr:nvGraphicFramePr>
      <xdr:xfrm>
        <a:off x="13563600" y="1924050"/>
        <a:ext cx="2343150" cy="2676525"/>
      </xdr:xfrm>
      <a:graphic>
        <a:graphicData uri="http://schemas.openxmlformats.org/drawingml/2006/chart">
          <c:chart xmlns:c="http://schemas.openxmlformats.org/drawingml/2006/chart" r:id="rId3"/>
        </a:graphicData>
      </a:graphic>
    </xdr:graphicFrame>
    <xdr:clientData/>
  </xdr:twoCellAnchor>
  <xdr:twoCellAnchor>
    <xdr:from>
      <xdr:col>20</xdr:col>
      <xdr:colOff>219075</xdr:colOff>
      <xdr:row>10</xdr:row>
      <xdr:rowOff>114300</xdr:rowOff>
    </xdr:from>
    <xdr:to>
      <xdr:col>23</xdr:col>
      <xdr:colOff>504825</xdr:colOff>
      <xdr:row>25</xdr:row>
      <xdr:rowOff>76200</xdr:rowOff>
    </xdr:to>
    <xdr:graphicFrame>
      <xdr:nvGraphicFramePr>
        <xdr:cNvPr id="4" name="Диаграмма 28"/>
        <xdr:cNvGraphicFramePr/>
      </xdr:nvGraphicFramePr>
      <xdr:xfrm>
        <a:off x="16202025" y="1924050"/>
        <a:ext cx="2600325" cy="2676525"/>
      </xdr:xfrm>
      <a:graphic>
        <a:graphicData uri="http://schemas.openxmlformats.org/drawingml/2006/chart">
          <c:chart xmlns:c="http://schemas.openxmlformats.org/drawingml/2006/chart" r:id="rId4"/>
        </a:graphicData>
      </a:graphic>
    </xdr:graphicFrame>
    <xdr:clientData/>
  </xdr:twoCellAnchor>
  <xdr:twoCellAnchor>
    <xdr:from>
      <xdr:col>16</xdr:col>
      <xdr:colOff>333375</xdr:colOff>
      <xdr:row>25</xdr:row>
      <xdr:rowOff>171450</xdr:rowOff>
    </xdr:from>
    <xdr:to>
      <xdr:col>19</xdr:col>
      <xdr:colOff>609600</xdr:colOff>
      <xdr:row>40</xdr:row>
      <xdr:rowOff>123825</xdr:rowOff>
    </xdr:to>
    <xdr:graphicFrame>
      <xdr:nvGraphicFramePr>
        <xdr:cNvPr id="5" name="Диаграмма 29"/>
        <xdr:cNvGraphicFramePr/>
      </xdr:nvGraphicFramePr>
      <xdr:xfrm>
        <a:off x="13573125" y="4695825"/>
        <a:ext cx="2333625" cy="2667000"/>
      </xdr:xfrm>
      <a:graphic>
        <a:graphicData uri="http://schemas.openxmlformats.org/drawingml/2006/chart">
          <c:chart xmlns:c="http://schemas.openxmlformats.org/drawingml/2006/chart" r:id="rId5"/>
        </a:graphicData>
      </a:graphic>
    </xdr:graphicFrame>
    <xdr:clientData/>
  </xdr:twoCellAnchor>
  <xdr:twoCellAnchor>
    <xdr:from>
      <xdr:col>20</xdr:col>
      <xdr:colOff>238125</xdr:colOff>
      <xdr:row>25</xdr:row>
      <xdr:rowOff>171450</xdr:rowOff>
    </xdr:from>
    <xdr:to>
      <xdr:col>23</xdr:col>
      <xdr:colOff>514350</xdr:colOff>
      <xdr:row>40</xdr:row>
      <xdr:rowOff>123825</xdr:rowOff>
    </xdr:to>
    <xdr:graphicFrame>
      <xdr:nvGraphicFramePr>
        <xdr:cNvPr id="6" name="Диаграмма 30"/>
        <xdr:cNvGraphicFramePr/>
      </xdr:nvGraphicFramePr>
      <xdr:xfrm>
        <a:off x="16221075" y="4695825"/>
        <a:ext cx="2590800" cy="2667000"/>
      </xdr:xfrm>
      <a:graphic>
        <a:graphicData uri="http://schemas.openxmlformats.org/drawingml/2006/chart">
          <c:chart xmlns:c="http://schemas.openxmlformats.org/drawingml/2006/chart" r:id="rId6"/>
        </a:graphicData>
      </a:graphic>
    </xdr:graphicFrame>
    <xdr:clientData/>
  </xdr:twoCellAnchor>
  <xdr:twoCellAnchor>
    <xdr:from>
      <xdr:col>24</xdr:col>
      <xdr:colOff>400050</xdr:colOff>
      <xdr:row>10</xdr:row>
      <xdr:rowOff>133350</xdr:rowOff>
    </xdr:from>
    <xdr:to>
      <xdr:col>27</xdr:col>
      <xdr:colOff>676275</xdr:colOff>
      <xdr:row>25</xdr:row>
      <xdr:rowOff>85725</xdr:rowOff>
    </xdr:to>
    <xdr:graphicFrame>
      <xdr:nvGraphicFramePr>
        <xdr:cNvPr id="7" name="Диаграмма 31"/>
        <xdr:cNvGraphicFramePr/>
      </xdr:nvGraphicFramePr>
      <xdr:xfrm>
        <a:off x="19383375" y="1943100"/>
        <a:ext cx="2333625" cy="2667000"/>
      </xdr:xfrm>
      <a:graphic>
        <a:graphicData uri="http://schemas.openxmlformats.org/drawingml/2006/chart">
          <c:chart xmlns:c="http://schemas.openxmlformats.org/drawingml/2006/chart" r:id="rId7"/>
        </a:graphicData>
      </a:graphic>
    </xdr:graphicFrame>
    <xdr:clientData/>
  </xdr:twoCellAnchor>
  <xdr:twoCellAnchor>
    <xdr:from>
      <xdr:col>24</xdr:col>
      <xdr:colOff>400050</xdr:colOff>
      <xdr:row>25</xdr:row>
      <xdr:rowOff>171450</xdr:rowOff>
    </xdr:from>
    <xdr:to>
      <xdr:col>27</xdr:col>
      <xdr:colOff>666750</xdr:colOff>
      <xdr:row>40</xdr:row>
      <xdr:rowOff>114300</xdr:rowOff>
    </xdr:to>
    <xdr:graphicFrame>
      <xdr:nvGraphicFramePr>
        <xdr:cNvPr id="8" name="Диаграмма 32"/>
        <xdr:cNvGraphicFramePr/>
      </xdr:nvGraphicFramePr>
      <xdr:xfrm>
        <a:off x="19383375" y="4695825"/>
        <a:ext cx="2324100" cy="2657475"/>
      </xdr:xfrm>
      <a:graphic>
        <a:graphicData uri="http://schemas.openxmlformats.org/drawingml/2006/chart">
          <c:chart xmlns:c="http://schemas.openxmlformats.org/drawingml/2006/chart" r:id="rId8"/>
        </a:graphicData>
      </a:graphic>
    </xdr:graphicFrame>
    <xdr:clientData/>
  </xdr:twoCellAnchor>
  <xdr:twoCellAnchor>
    <xdr:from>
      <xdr:col>28</xdr:col>
      <xdr:colOff>276225</xdr:colOff>
      <xdr:row>10</xdr:row>
      <xdr:rowOff>133350</xdr:rowOff>
    </xdr:from>
    <xdr:to>
      <xdr:col>31</xdr:col>
      <xdr:colOff>571500</xdr:colOff>
      <xdr:row>25</xdr:row>
      <xdr:rowOff>95250</xdr:rowOff>
    </xdr:to>
    <xdr:graphicFrame>
      <xdr:nvGraphicFramePr>
        <xdr:cNvPr id="9" name="Диаграмма 33"/>
        <xdr:cNvGraphicFramePr/>
      </xdr:nvGraphicFramePr>
      <xdr:xfrm>
        <a:off x="22002750" y="1943100"/>
        <a:ext cx="2352675" cy="2676525"/>
      </xdr:xfrm>
      <a:graphic>
        <a:graphicData uri="http://schemas.openxmlformats.org/drawingml/2006/chart">
          <c:chart xmlns:c="http://schemas.openxmlformats.org/drawingml/2006/chart" r:id="rId9"/>
        </a:graphicData>
      </a:graphic>
    </xdr:graphicFrame>
    <xdr:clientData/>
  </xdr:twoCellAnchor>
  <xdr:twoCellAnchor>
    <xdr:from>
      <xdr:col>28</xdr:col>
      <xdr:colOff>285750</xdr:colOff>
      <xdr:row>26</xdr:row>
      <xdr:rowOff>9525</xdr:rowOff>
    </xdr:from>
    <xdr:to>
      <xdr:col>31</xdr:col>
      <xdr:colOff>571500</xdr:colOff>
      <xdr:row>40</xdr:row>
      <xdr:rowOff>142875</xdr:rowOff>
    </xdr:to>
    <xdr:graphicFrame>
      <xdr:nvGraphicFramePr>
        <xdr:cNvPr id="10" name="Диаграмма 34"/>
        <xdr:cNvGraphicFramePr/>
      </xdr:nvGraphicFramePr>
      <xdr:xfrm>
        <a:off x="22012275" y="4714875"/>
        <a:ext cx="2343150" cy="2667000"/>
      </xdr:xfrm>
      <a:graphic>
        <a:graphicData uri="http://schemas.openxmlformats.org/drawingml/2006/chart">
          <c:chart xmlns:c="http://schemas.openxmlformats.org/drawingml/2006/chart" r:id="rId10"/>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kd@npods.ru"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Лист3"/>
  <dimension ref="B1:D99"/>
  <sheetViews>
    <sheetView showGridLines="0" zoomScalePageLayoutView="0" workbookViewId="0" topLeftCell="A79">
      <selection activeCell="B80" sqref="B80"/>
    </sheetView>
  </sheetViews>
  <sheetFormatPr defaultColWidth="9.00390625" defaultRowHeight="12.75"/>
  <cols>
    <col min="1" max="1" width="7.125" style="0" customWidth="1"/>
    <col min="2" max="2" width="112.25390625" style="26" customWidth="1"/>
  </cols>
  <sheetData>
    <row r="1" ht="18.75">
      <c r="B1" s="29" t="s">
        <v>28</v>
      </c>
    </row>
    <row r="2" ht="18.75">
      <c r="B2" s="29" t="s">
        <v>29</v>
      </c>
    </row>
    <row r="3" ht="15.75">
      <c r="B3" s="30"/>
    </row>
    <row r="4" ht="15.75">
      <c r="B4" s="31" t="s">
        <v>146</v>
      </c>
    </row>
    <row r="5" ht="15.75">
      <c r="B5" s="30"/>
    </row>
    <row r="6" ht="15.75">
      <c r="B6" s="30"/>
    </row>
    <row r="7" ht="15.75">
      <c r="B7" s="30"/>
    </row>
    <row r="8" ht="15.75">
      <c r="B8" s="31" t="s">
        <v>55</v>
      </c>
    </row>
    <row r="9" ht="15.75">
      <c r="B9" s="31"/>
    </row>
    <row r="10" ht="15.75">
      <c r="B10" s="38" t="s">
        <v>30</v>
      </c>
    </row>
    <row r="11" ht="15.75">
      <c r="B11" s="38" t="s">
        <v>31</v>
      </c>
    </row>
    <row r="12" ht="15.75">
      <c r="B12" s="38" t="s">
        <v>32</v>
      </c>
    </row>
    <row r="13" ht="15.75">
      <c r="B13" s="38" t="s">
        <v>117</v>
      </c>
    </row>
    <row r="14" ht="15.75">
      <c r="B14" s="38" t="s">
        <v>56</v>
      </c>
    </row>
    <row r="15" ht="15.75">
      <c r="B15" s="38" t="s">
        <v>33</v>
      </c>
    </row>
    <row r="16" ht="15.75">
      <c r="B16" s="31"/>
    </row>
    <row r="17" ht="18.75">
      <c r="B17" s="29" t="s">
        <v>30</v>
      </c>
    </row>
    <row r="18" ht="18.75">
      <c r="B18" s="29"/>
    </row>
    <row r="19" spans="2:3" ht="47.25">
      <c r="B19" s="32" t="s">
        <v>118</v>
      </c>
      <c r="C19" s="25"/>
    </row>
    <row r="20" spans="2:3" ht="15.75">
      <c r="B20" s="32"/>
      <c r="C20" s="18"/>
    </row>
    <row r="21" spans="2:3" ht="31.5">
      <c r="B21" s="32" t="s">
        <v>34</v>
      </c>
      <c r="C21" s="25"/>
    </row>
    <row r="22" spans="2:3" ht="15.75">
      <c r="B22" s="31"/>
      <c r="C22" s="19"/>
    </row>
    <row r="23" spans="2:3" ht="18.75">
      <c r="B23" s="29" t="s">
        <v>31</v>
      </c>
      <c r="C23" s="19"/>
    </row>
    <row r="24" spans="2:3" ht="18.75">
      <c r="B24" s="33"/>
      <c r="C24" s="20"/>
    </row>
    <row r="25" spans="2:3" ht="15.75">
      <c r="B25" s="32" t="s">
        <v>35</v>
      </c>
      <c r="C25" s="21"/>
    </row>
    <row r="26" spans="2:3" ht="15.75">
      <c r="B26" s="34" t="s">
        <v>36</v>
      </c>
      <c r="C26" s="22"/>
    </row>
    <row r="27" spans="2:3" ht="15.75">
      <c r="B27" s="35" t="s">
        <v>37</v>
      </c>
      <c r="C27" s="22"/>
    </row>
    <row r="28" spans="2:3" ht="15.75">
      <c r="B28" s="35" t="s">
        <v>119</v>
      </c>
      <c r="C28" s="21"/>
    </row>
    <row r="29" spans="2:3" ht="15.75">
      <c r="B29" s="35"/>
      <c r="C29" s="21"/>
    </row>
    <row r="30" spans="2:3" ht="15.75">
      <c r="B30" s="35" t="s">
        <v>38</v>
      </c>
      <c r="C30" s="19"/>
    </row>
    <row r="31" spans="2:3" ht="15.75">
      <c r="B31" s="32"/>
      <c r="C31" s="19"/>
    </row>
    <row r="32" spans="2:3" ht="15.75">
      <c r="B32" s="32" t="s">
        <v>120</v>
      </c>
      <c r="C32" s="19"/>
    </row>
    <row r="33" spans="2:3" ht="15.75">
      <c r="B33" s="32"/>
      <c r="C33" s="23"/>
    </row>
    <row r="34" spans="2:3" ht="15.75">
      <c r="B34" s="32" t="s">
        <v>121</v>
      </c>
      <c r="C34" s="23"/>
    </row>
    <row r="35" spans="2:3" ht="15.75">
      <c r="B35" s="32" t="s">
        <v>122</v>
      </c>
      <c r="C35" s="21"/>
    </row>
    <row r="36" spans="2:3" ht="15.75">
      <c r="B36" s="32" t="s">
        <v>123</v>
      </c>
      <c r="C36" s="21"/>
    </row>
    <row r="37" spans="2:3" ht="15.75">
      <c r="B37" s="32" t="s">
        <v>124</v>
      </c>
      <c r="C37" s="22"/>
    </row>
    <row r="38" spans="2:3" ht="15.75">
      <c r="B38" s="32" t="s">
        <v>125</v>
      </c>
      <c r="C38" s="22"/>
    </row>
    <row r="39" spans="2:3" ht="15.75">
      <c r="B39" s="32" t="s">
        <v>126</v>
      </c>
      <c r="C39" s="21"/>
    </row>
    <row r="40" spans="2:3" ht="15.75">
      <c r="B40" s="32" t="s">
        <v>127</v>
      </c>
      <c r="C40" s="21"/>
    </row>
    <row r="41" spans="2:4" ht="15.75">
      <c r="B41" s="32" t="s">
        <v>128</v>
      </c>
      <c r="C41" s="21"/>
      <c r="D41" s="21"/>
    </row>
    <row r="42" spans="2:4" ht="15.75">
      <c r="B42" s="32" t="s">
        <v>129</v>
      </c>
      <c r="C42" s="24"/>
      <c r="D42" s="21"/>
    </row>
    <row r="43" spans="2:4" ht="15.75">
      <c r="B43" s="32" t="s">
        <v>130</v>
      </c>
      <c r="C43" s="24"/>
      <c r="D43" s="21"/>
    </row>
    <row r="44" spans="2:3" ht="15.75">
      <c r="B44" s="32"/>
      <c r="C44" s="23"/>
    </row>
    <row r="45" spans="2:3" ht="15.75">
      <c r="B45" s="32" t="s">
        <v>131</v>
      </c>
      <c r="C45" s="23"/>
    </row>
    <row r="46" spans="2:3" ht="15.75">
      <c r="B46" s="32" t="s">
        <v>132</v>
      </c>
      <c r="C46" s="21"/>
    </row>
    <row r="47" spans="2:3" ht="15.75">
      <c r="B47" s="32" t="s">
        <v>133</v>
      </c>
      <c r="C47" s="21"/>
    </row>
    <row r="48" spans="2:3" ht="15.75">
      <c r="B48" s="32" t="s">
        <v>134</v>
      </c>
      <c r="C48" s="22"/>
    </row>
    <row r="49" spans="2:3" ht="15.75">
      <c r="B49" s="32" t="s">
        <v>135</v>
      </c>
      <c r="C49" s="22"/>
    </row>
    <row r="50" spans="2:3" ht="31.5">
      <c r="B50" s="32" t="s">
        <v>136</v>
      </c>
      <c r="C50" s="21"/>
    </row>
    <row r="51" spans="2:3" ht="15.75">
      <c r="B51" s="32"/>
      <c r="C51" s="21"/>
    </row>
    <row r="52" spans="2:4" ht="15.75">
      <c r="B52" s="32" t="s">
        <v>39</v>
      </c>
      <c r="C52" s="21"/>
      <c r="D52" s="21"/>
    </row>
    <row r="53" spans="2:4" ht="15.75">
      <c r="B53" s="32"/>
      <c r="C53" s="24"/>
      <c r="D53" s="21"/>
    </row>
    <row r="54" spans="2:4" ht="18.75">
      <c r="B54" s="29" t="s">
        <v>32</v>
      </c>
      <c r="C54" s="24"/>
      <c r="D54" s="21"/>
    </row>
    <row r="55" spans="2:3" ht="18.75">
      <c r="B55" s="29"/>
      <c r="C55" s="23"/>
    </row>
    <row r="56" spans="2:3" ht="15.75">
      <c r="B56" s="34" t="s">
        <v>40</v>
      </c>
      <c r="C56" s="23"/>
    </row>
    <row r="57" spans="2:3" ht="31.5">
      <c r="B57" s="34" t="s">
        <v>41</v>
      </c>
      <c r="C57" s="21"/>
    </row>
    <row r="58" spans="2:3" ht="15.75">
      <c r="B58" s="34" t="s">
        <v>42</v>
      </c>
      <c r="C58" s="21"/>
    </row>
    <row r="59" spans="2:3" ht="31.5">
      <c r="B59" s="34" t="s">
        <v>43</v>
      </c>
      <c r="C59" s="22"/>
    </row>
    <row r="60" spans="2:3" ht="31.5">
      <c r="B60" s="34" t="s">
        <v>44</v>
      </c>
      <c r="C60" s="22"/>
    </row>
    <row r="61" spans="2:3" ht="284.25" customHeight="1">
      <c r="B61" s="34"/>
      <c r="C61" s="21"/>
    </row>
    <row r="62" ht="15.75">
      <c r="C62" s="21"/>
    </row>
    <row r="63" spans="2:4" ht="15.75">
      <c r="B63" s="36" t="s">
        <v>45</v>
      </c>
      <c r="C63" s="21"/>
      <c r="D63" s="21"/>
    </row>
    <row r="64" ht="14.25">
      <c r="B64" s="36" t="s">
        <v>137</v>
      </c>
    </row>
    <row r="65" ht="15">
      <c r="B65" s="100"/>
    </row>
    <row r="66" ht="18.75">
      <c r="B66" s="29" t="s">
        <v>117</v>
      </c>
    </row>
    <row r="67" ht="18.75">
      <c r="B67" s="29"/>
    </row>
    <row r="68" ht="15.75">
      <c r="B68" s="30"/>
    </row>
    <row r="69" ht="15.75">
      <c r="B69" s="32" t="s">
        <v>138</v>
      </c>
    </row>
    <row r="70" ht="14.25">
      <c r="B70" s="101"/>
    </row>
    <row r="71" ht="31.5">
      <c r="B71" s="32" t="s">
        <v>139</v>
      </c>
    </row>
    <row r="72" ht="15.75">
      <c r="B72" s="34" t="s">
        <v>140</v>
      </c>
    </row>
    <row r="73" ht="31.5">
      <c r="B73" s="34" t="s">
        <v>141</v>
      </c>
    </row>
    <row r="74" ht="63">
      <c r="B74" s="34" t="s">
        <v>142</v>
      </c>
    </row>
    <row r="75" ht="31.5">
      <c r="B75" s="34" t="s">
        <v>143</v>
      </c>
    </row>
    <row r="76" ht="94.5">
      <c r="B76" s="37" t="s">
        <v>144</v>
      </c>
    </row>
    <row r="78" ht="15.75">
      <c r="B78" s="37"/>
    </row>
    <row r="79" ht="240.75" customHeight="1">
      <c r="B79" s="31" t="s">
        <v>51</v>
      </c>
    </row>
    <row r="80" ht="15.75">
      <c r="B80" s="31"/>
    </row>
    <row r="81" ht="55.5" customHeight="1">
      <c r="B81" s="34" t="s">
        <v>145</v>
      </c>
    </row>
    <row r="83" ht="279.75" customHeight="1">
      <c r="B83" s="31" t="s">
        <v>52</v>
      </c>
    </row>
    <row r="84" ht="18.75">
      <c r="B84" s="29" t="s">
        <v>46</v>
      </c>
    </row>
    <row r="85" ht="47.25">
      <c r="B85" s="32" t="s">
        <v>54</v>
      </c>
    </row>
    <row r="87" ht="317.25" customHeight="1">
      <c r="B87" s="31" t="s">
        <v>53</v>
      </c>
    </row>
    <row r="88" ht="18.75">
      <c r="B88" s="33"/>
    </row>
    <row r="89" ht="18.75">
      <c r="B89" s="29" t="s">
        <v>33</v>
      </c>
    </row>
    <row r="90" ht="15.75">
      <c r="B90" s="30"/>
    </row>
    <row r="91" ht="15.75">
      <c r="B91" s="32" t="s">
        <v>47</v>
      </c>
    </row>
    <row r="92" ht="15.75">
      <c r="B92" s="35" t="s">
        <v>48</v>
      </c>
    </row>
    <row r="93" ht="31.5">
      <c r="B93" s="35" t="s">
        <v>49</v>
      </c>
    </row>
    <row r="94" ht="15.75">
      <c r="B94" s="34"/>
    </row>
    <row r="95" ht="15.75">
      <c r="B95" s="32"/>
    </row>
    <row r="96" ht="12.75">
      <c r="B96" s="102" t="s">
        <v>50</v>
      </c>
    </row>
    <row r="97" ht="15.75">
      <c r="B97" s="34"/>
    </row>
    <row r="98" ht="15.75">
      <c r="B98" s="34"/>
    </row>
    <row r="99" ht="15.75">
      <c r="B99" s="34"/>
    </row>
  </sheetData>
  <sheetProtection password="CF7A" sheet="1" objects="1" scenarios="1"/>
  <hyperlinks>
    <hyperlink ref="B96" r:id="rId1" display="mailto:ckd@npods.ru"/>
  </hyperlinks>
  <printOptions/>
  <pageMargins left="0.75" right="0.75" top="1" bottom="1" header="0.5" footer="0.5"/>
  <pageSetup horizontalDpi="600" verticalDpi="600" orientation="portrait" paperSize="9" r:id="rId3"/>
  <drawing r:id="rId2"/>
</worksheet>
</file>

<file path=xl/worksheets/sheet2.xml><?xml version="1.0" encoding="utf-8"?>
<worksheet xmlns="http://schemas.openxmlformats.org/spreadsheetml/2006/main" xmlns:r="http://schemas.openxmlformats.org/officeDocument/2006/relationships">
  <sheetPr codeName="Лист1"/>
  <dimension ref="A1:AA82"/>
  <sheetViews>
    <sheetView tabSelected="1" zoomScale="85" zoomScaleNormal="85" zoomScalePageLayoutView="0" workbookViewId="0" topLeftCell="A1">
      <selection activeCell="J37" sqref="J37"/>
    </sheetView>
  </sheetViews>
  <sheetFormatPr defaultColWidth="9.00390625" defaultRowHeight="12.75"/>
  <cols>
    <col min="1" max="1" width="1.625" style="0" customWidth="1"/>
    <col min="2" max="2" width="1.37890625" style="0" customWidth="1"/>
    <col min="3" max="3" width="18.125" style="0" customWidth="1"/>
    <col min="4" max="4" width="8.375" style="0" customWidth="1"/>
    <col min="5" max="5" width="8.00390625" style="0" customWidth="1"/>
    <col min="6" max="6" width="4.875" style="0" customWidth="1"/>
    <col min="7" max="7" width="4.625" style="0" customWidth="1"/>
    <col min="8" max="8" width="3.00390625" style="0" customWidth="1"/>
    <col min="9" max="20" width="9.00390625" style="0" customWidth="1"/>
  </cols>
  <sheetData>
    <row r="1" spans="1:4" ht="19.5" customHeight="1">
      <c r="A1">
        <v>6</v>
      </c>
      <c r="D1" s="10" t="s">
        <v>26</v>
      </c>
    </row>
    <row r="3" spans="3:8" ht="15.75" customHeight="1" thickBot="1">
      <c r="C3" s="10" t="s">
        <v>27</v>
      </c>
      <c r="H3" s="10" t="s">
        <v>115</v>
      </c>
    </row>
    <row r="4" spans="2:14" ht="64.5" customHeight="1" thickBot="1">
      <c r="B4" s="7"/>
      <c r="C4" s="65" t="str">
        <f>CONCATENATE("Концентрация ",Рабочий!H48," в калибраторах, ",Рабочий!L48)</f>
        <v>Концентрация анти-ТПО в калибраторах, МЕ/мл</v>
      </c>
      <c r="D4" s="108" t="s">
        <v>17</v>
      </c>
      <c r="E4" s="109"/>
      <c r="N4" t="s">
        <v>72</v>
      </c>
    </row>
    <row r="5" spans="2:21" ht="13.5" thickBot="1">
      <c r="B5" s="7"/>
      <c r="C5" s="103"/>
      <c r="D5" s="103"/>
      <c r="E5" s="103"/>
      <c r="H5" s="104" t="s">
        <v>3</v>
      </c>
      <c r="I5" s="104"/>
      <c r="J5" s="104"/>
      <c r="K5" s="104"/>
      <c r="L5" s="104"/>
      <c r="M5" s="104"/>
      <c r="N5" s="104"/>
      <c r="O5" s="104"/>
      <c r="P5" s="104"/>
      <c r="Q5" s="104"/>
      <c r="R5" s="104"/>
      <c r="S5" s="104"/>
      <c r="T5" s="105"/>
      <c r="U5" s="91"/>
    </row>
    <row r="6" spans="2:27" ht="13.5" thickBot="1">
      <c r="B6" s="7"/>
      <c r="C6" s="103"/>
      <c r="D6" s="103"/>
      <c r="E6" s="103"/>
      <c r="H6" s="1"/>
      <c r="I6" s="16">
        <v>1</v>
      </c>
      <c r="J6" s="16">
        <v>2</v>
      </c>
      <c r="K6" s="16">
        <v>3</v>
      </c>
      <c r="L6" s="16">
        <v>4</v>
      </c>
      <c r="M6" s="16">
        <v>5</v>
      </c>
      <c r="N6" s="16">
        <v>6</v>
      </c>
      <c r="O6" s="16">
        <v>7</v>
      </c>
      <c r="P6" s="16">
        <v>8</v>
      </c>
      <c r="Q6" s="16">
        <v>9</v>
      </c>
      <c r="R6" s="16">
        <v>10</v>
      </c>
      <c r="S6" s="16">
        <v>11</v>
      </c>
      <c r="T6" s="87">
        <v>12</v>
      </c>
      <c r="U6" s="91"/>
      <c r="V6" s="94"/>
      <c r="W6" s="94"/>
      <c r="X6" s="94"/>
      <c r="Y6" s="94"/>
      <c r="Z6" s="69"/>
      <c r="AA6" s="7"/>
    </row>
    <row r="7" spans="2:27" ht="13.5" thickBot="1">
      <c r="B7" s="7"/>
      <c r="C7" s="103"/>
      <c r="D7" s="103"/>
      <c r="E7" s="103"/>
      <c r="H7" s="15" t="s">
        <v>8</v>
      </c>
      <c r="I7" s="103"/>
      <c r="J7" s="103"/>
      <c r="K7" s="103"/>
      <c r="L7" s="103"/>
      <c r="M7" s="103"/>
      <c r="N7" s="103"/>
      <c r="O7" s="103"/>
      <c r="P7" s="103"/>
      <c r="Q7" s="103"/>
      <c r="R7" s="103"/>
      <c r="S7" s="103"/>
      <c r="T7" s="103"/>
      <c r="U7" s="91"/>
      <c r="V7" s="94"/>
      <c r="W7" s="94"/>
      <c r="X7" s="94"/>
      <c r="Y7" s="94"/>
      <c r="Z7" s="69"/>
      <c r="AA7" s="7"/>
    </row>
    <row r="8" spans="2:27" ht="13.5" thickBot="1">
      <c r="B8" s="7"/>
      <c r="C8" s="103"/>
      <c r="D8" s="103"/>
      <c r="E8" s="103"/>
      <c r="H8" s="15" t="s">
        <v>9</v>
      </c>
      <c r="I8" s="103"/>
      <c r="J8" s="103"/>
      <c r="K8" s="103"/>
      <c r="L8" s="103"/>
      <c r="M8" s="103"/>
      <c r="N8" s="103"/>
      <c r="O8" s="103"/>
      <c r="P8" s="103"/>
      <c r="Q8" s="103"/>
      <c r="R8" s="103"/>
      <c r="S8" s="103"/>
      <c r="T8" s="103"/>
      <c r="U8" s="91"/>
      <c r="V8" s="94"/>
      <c r="W8" s="94"/>
      <c r="X8" s="94"/>
      <c r="Y8" s="94"/>
      <c r="Z8" s="69"/>
      <c r="AA8" s="7"/>
    </row>
    <row r="9" spans="2:27" ht="13.5" thickBot="1">
      <c r="B9" s="7"/>
      <c r="C9" s="103"/>
      <c r="D9" s="103"/>
      <c r="E9" s="103"/>
      <c r="H9" s="15" t="s">
        <v>10</v>
      </c>
      <c r="I9" s="103"/>
      <c r="J9" s="103"/>
      <c r="K9" s="103"/>
      <c r="L9" s="103"/>
      <c r="M9" s="103"/>
      <c r="N9" s="103"/>
      <c r="O9" s="103"/>
      <c r="P9" s="103"/>
      <c r="Q9" s="103"/>
      <c r="R9" s="103"/>
      <c r="S9" s="103"/>
      <c r="T9" s="103"/>
      <c r="U9" s="91"/>
      <c r="V9" s="94"/>
      <c r="W9" s="94"/>
      <c r="X9" s="94"/>
      <c r="Y9" s="94"/>
      <c r="Z9" s="69"/>
      <c r="AA9" s="7"/>
    </row>
    <row r="10" spans="2:27" ht="13.5" thickBot="1">
      <c r="B10" s="7"/>
      <c r="C10" s="103"/>
      <c r="D10" s="103"/>
      <c r="E10" s="103"/>
      <c r="F10" s="5"/>
      <c r="G10" s="5"/>
      <c r="H10" s="15" t="s">
        <v>11</v>
      </c>
      <c r="I10" s="103"/>
      <c r="J10" s="103"/>
      <c r="K10" s="103"/>
      <c r="L10" s="103"/>
      <c r="M10" s="103"/>
      <c r="N10" s="103"/>
      <c r="O10" s="103"/>
      <c r="P10" s="103"/>
      <c r="Q10" s="103"/>
      <c r="R10" s="103"/>
      <c r="S10" s="103"/>
      <c r="T10" s="103"/>
      <c r="U10" s="91"/>
      <c r="V10" s="69"/>
      <c r="W10" s="69"/>
      <c r="X10" s="69"/>
      <c r="Y10" s="69"/>
      <c r="Z10" s="69"/>
      <c r="AA10" s="7"/>
    </row>
    <row r="11" spans="2:27" ht="13.5" thickBot="1">
      <c r="B11" s="7"/>
      <c r="C11" s="98"/>
      <c r="D11" s="103"/>
      <c r="E11" s="103"/>
      <c r="F11" s="5"/>
      <c r="G11" s="5"/>
      <c r="H11" s="15" t="s">
        <v>12</v>
      </c>
      <c r="I11" s="103"/>
      <c r="J11" s="103"/>
      <c r="K11" s="103"/>
      <c r="L11" s="103"/>
      <c r="M11" s="103"/>
      <c r="N11" s="103"/>
      <c r="O11" s="103"/>
      <c r="P11" s="103"/>
      <c r="Q11" s="103"/>
      <c r="R11" s="103"/>
      <c r="S11" s="103"/>
      <c r="T11" s="103"/>
      <c r="U11" s="91"/>
      <c r="V11" s="69"/>
      <c r="W11" s="69"/>
      <c r="X11" s="69"/>
      <c r="Y11" s="69"/>
      <c r="Z11" s="69"/>
      <c r="AA11" s="7"/>
    </row>
    <row r="12" spans="2:27" ht="13.5" thickBot="1">
      <c r="B12" s="7"/>
      <c r="C12" s="98"/>
      <c r="D12" s="103"/>
      <c r="E12" s="103"/>
      <c r="F12" s="5"/>
      <c r="G12" s="5"/>
      <c r="H12" s="15" t="s">
        <v>13</v>
      </c>
      <c r="I12" s="103"/>
      <c r="J12" s="103"/>
      <c r="K12" s="103"/>
      <c r="L12" s="103"/>
      <c r="M12" s="103"/>
      <c r="N12" s="103"/>
      <c r="O12" s="103"/>
      <c r="P12" s="103"/>
      <c r="Q12" s="103"/>
      <c r="R12" s="103"/>
      <c r="S12" s="103"/>
      <c r="T12" s="103"/>
      <c r="U12" s="91"/>
      <c r="V12" s="69"/>
      <c r="W12" s="69"/>
      <c r="X12" s="69"/>
      <c r="Y12" s="69"/>
      <c r="Z12" s="69"/>
      <c r="AA12" s="7"/>
    </row>
    <row r="13" spans="2:27" ht="13.5" thickBot="1">
      <c r="B13" s="7"/>
      <c r="C13" s="98"/>
      <c r="D13" s="66"/>
      <c r="E13" s="66"/>
      <c r="F13" s="5"/>
      <c r="G13" s="5"/>
      <c r="H13" s="15" t="s">
        <v>14</v>
      </c>
      <c r="I13" s="103"/>
      <c r="J13" s="103"/>
      <c r="K13" s="103"/>
      <c r="L13" s="103"/>
      <c r="M13" s="103"/>
      <c r="N13" s="103"/>
      <c r="O13" s="103"/>
      <c r="P13" s="103"/>
      <c r="Q13" s="103"/>
      <c r="R13" s="103"/>
      <c r="S13" s="103"/>
      <c r="T13" s="103"/>
      <c r="U13" s="91"/>
      <c r="V13" s="69"/>
      <c r="W13" s="69"/>
      <c r="X13" s="69"/>
      <c r="Y13" s="69"/>
      <c r="Z13" s="69"/>
      <c r="AA13" s="7"/>
    </row>
    <row r="14" spans="2:27" ht="13.5" thickBot="1">
      <c r="B14" s="7"/>
      <c r="C14" s="98"/>
      <c r="D14" s="66"/>
      <c r="E14" s="66"/>
      <c r="H14" s="15" t="s">
        <v>15</v>
      </c>
      <c r="I14" s="103"/>
      <c r="J14" s="103"/>
      <c r="K14" s="103"/>
      <c r="L14" s="103"/>
      <c r="M14" s="103"/>
      <c r="N14" s="103"/>
      <c r="O14" s="103"/>
      <c r="P14" s="103"/>
      <c r="Q14" s="103"/>
      <c r="R14" s="103"/>
      <c r="S14" s="103"/>
      <c r="T14" s="103"/>
      <c r="U14" s="91"/>
      <c r="V14" s="69"/>
      <c r="W14" s="69"/>
      <c r="X14" s="69"/>
      <c r="Y14" s="69"/>
      <c r="Z14" s="69"/>
      <c r="AA14" s="7"/>
    </row>
    <row r="15" spans="2:27" ht="13.5" customHeight="1" thickBot="1">
      <c r="B15" s="7"/>
      <c r="C15" s="98"/>
      <c r="D15" s="66"/>
      <c r="E15" s="66"/>
      <c r="U15" s="7"/>
      <c r="V15" s="69"/>
      <c r="W15" s="69"/>
      <c r="X15" s="69"/>
      <c r="Y15" s="69"/>
      <c r="Z15" s="69"/>
      <c r="AA15" s="7"/>
    </row>
    <row r="16" spans="2:27" ht="13.5" thickBot="1">
      <c r="B16" s="7"/>
      <c r="C16" s="98"/>
      <c r="D16" s="66"/>
      <c r="E16" s="66"/>
      <c r="H16" s="10" t="s">
        <v>116</v>
      </c>
      <c r="U16" s="7"/>
      <c r="V16" s="69"/>
      <c r="W16" s="69"/>
      <c r="X16" s="69"/>
      <c r="Y16" s="69"/>
      <c r="Z16" s="69"/>
      <c r="AA16" s="7"/>
    </row>
    <row r="17" spans="2:27" ht="13.5" thickBot="1">
      <c r="B17" s="7"/>
      <c r="C17" s="7"/>
      <c r="D17" s="7"/>
      <c r="E17" s="11"/>
      <c r="H17" s="106" t="str">
        <f>CONCATENATE("Концентрация ",Рабочий!H48," в образце, ",Рабочий!L48)</f>
        <v>Концентрация анти-ТПО в образце, МЕ/мл</v>
      </c>
      <c r="I17" s="107"/>
      <c r="J17" s="107"/>
      <c r="K17" s="107"/>
      <c r="L17" s="107"/>
      <c r="M17" s="107"/>
      <c r="N17" s="107"/>
      <c r="O17" s="107"/>
      <c r="P17" s="107"/>
      <c r="Q17" s="107"/>
      <c r="R17" s="107"/>
      <c r="S17" s="107"/>
      <c r="T17" s="107"/>
      <c r="U17" s="91"/>
      <c r="V17" s="69"/>
      <c r="W17" s="69"/>
      <c r="X17" s="69"/>
      <c r="Y17" s="69"/>
      <c r="Z17" s="69"/>
      <c r="AA17" s="7"/>
    </row>
    <row r="18" spans="2:27" ht="13.5" thickBot="1">
      <c r="B18" s="7"/>
      <c r="C18" s="10" t="s">
        <v>114</v>
      </c>
      <c r="D18" s="7"/>
      <c r="E18" s="11"/>
      <c r="H18" s="76"/>
      <c r="I18" s="77">
        <v>1</v>
      </c>
      <c r="J18" s="77">
        <v>2</v>
      </c>
      <c r="K18" s="77">
        <v>3</v>
      </c>
      <c r="L18" s="77">
        <v>4</v>
      </c>
      <c r="M18" s="77">
        <v>5</v>
      </c>
      <c r="N18" s="77">
        <v>6</v>
      </c>
      <c r="O18" s="77">
        <v>7</v>
      </c>
      <c r="P18" s="77">
        <v>8</v>
      </c>
      <c r="Q18" s="77">
        <v>9</v>
      </c>
      <c r="R18" s="77">
        <v>10</v>
      </c>
      <c r="S18" s="77">
        <v>11</v>
      </c>
      <c r="T18" s="88">
        <v>12</v>
      </c>
      <c r="U18" s="91"/>
      <c r="V18" s="69"/>
      <c r="W18" s="69"/>
      <c r="X18" s="69"/>
      <c r="Y18" s="69"/>
      <c r="Z18" s="69"/>
      <c r="AA18" s="7"/>
    </row>
    <row r="19" spans="2:27" ht="13.5" thickBot="1">
      <c r="B19" s="7"/>
      <c r="C19" s="66"/>
      <c r="D19" s="7"/>
      <c r="E19" s="11"/>
      <c r="H19" s="78" t="s">
        <v>8</v>
      </c>
      <c r="I19" s="79" t="str">
        <f>IF(AND(OR(ISNUMBER(I7),ISNUMBER(J7)),(Рабочий!$E$17=1)),IF(AND(AVERAGE(I7:J7)&gt;=Рабочий!$A$34+Рабочий!$J$45*Рабочий!$L$45,Рабочий!$E$34+Рабочий!$J$45*Рабочий!$L$45&gt;=AVERAGE(I7:J7)),Рабочий!V84,IF(AVERAGE(I7:J7)&lt;Рабочий!$A$34+Рабочий!$J$45*Рабочий!$L$45,Рабочий!$M$48,Рабочий!$N$48)),"     ")</f>
        <v>     </v>
      </c>
      <c r="J19" s="84" t="str">
        <f>" "</f>
        <v> </v>
      </c>
      <c r="K19" s="79" t="str">
        <f>IF(AND(OR(ISNUMBER(K7),ISNUMBER(L7)),(Рабочий!$E$17=1)),IF(AND(AVERAGE(K7:L7)&gt;=Рабочий!$A$34+Рабочий!$J$45*Рабочий!$L$45,Рабочий!$E$34+Рабочий!$J$45*Рабочий!$L$45&gt;=AVERAGE(K7:L7)),Рабочий!X84,IF(AVERAGE(K7:L7)&lt;Рабочий!$A$34+Рабочий!$J$45*Рабочий!$L$45,Рабочий!$M$48,Рабочий!$N$48)),"     ")</f>
        <v>     </v>
      </c>
      <c r="L19" s="84" t="str">
        <f>" "</f>
        <v> </v>
      </c>
      <c r="M19" s="79" t="str">
        <f>IF(AND(OR(ISNUMBER(M7),ISNUMBER(N7)),(Рабочий!$E$17=1)),IF(AND(AVERAGE(M7:N7)&gt;=Рабочий!$A$34+Рабочий!$J$45*Рабочий!$L$45,Рабочий!$E$34+Рабочий!$J$45*Рабочий!$L$45&gt;=AVERAGE(M7:N7)),Рабочий!Z84,IF(AVERAGE(M7:N7)&lt;Рабочий!$A$34+Рабочий!$J$45*Рабочий!$L$45,Рабочий!$M$48,Рабочий!$N$48)),"     ")</f>
        <v>     </v>
      </c>
      <c r="N19" s="84" t="str">
        <f>" "</f>
        <v> </v>
      </c>
      <c r="O19" s="79" t="str">
        <f>IF(AND(OR(ISNUMBER(O7),ISNUMBER(P7)),(Рабочий!$E$17=1)),IF(AND(AVERAGE(O7:P7)&gt;=Рабочий!$A$34+Рабочий!$J$45*Рабочий!$L$45,Рабочий!$E$34+Рабочий!$J$45*Рабочий!$L$45&gt;=AVERAGE(O7:P7)),Рабочий!AB84,IF(AVERAGE(O7:P7)&lt;Рабочий!$A$34+Рабочий!$J$45*Рабочий!$L$45,Рабочий!$M$48,Рабочий!$N$48)),"     ")</f>
        <v>     </v>
      </c>
      <c r="P19" s="84" t="str">
        <f>" "</f>
        <v> </v>
      </c>
      <c r="Q19" s="79" t="str">
        <f>IF(AND(OR(ISNUMBER(Q7),ISNUMBER(R7)),(Рабочий!$E$17=1)),IF(AND(AVERAGE(Q7:R7)&gt;=Рабочий!$A$34+Рабочий!$J$45*Рабочий!$L$45,Рабочий!$E$34+Рабочий!$J$45*Рабочий!$L$45&gt;=AVERAGE(Q7:R7)),Рабочий!AD84,IF(AVERAGE(Q7:R7)&lt;Рабочий!$A$34+Рабочий!$J$45*Рабочий!$L$45,Рабочий!$M$48,Рабочий!$N$48)),"     ")</f>
        <v>     </v>
      </c>
      <c r="R19" s="84" t="str">
        <f>" "</f>
        <v> </v>
      </c>
      <c r="S19" s="79" t="str">
        <f>IF(AND(OR(ISNUMBER(S7),ISNUMBER(T7)),(Рабочий!$E$17=1)),IF(AND(AVERAGE(S7:T7)&gt;=Рабочий!$A$34+Рабочий!$J$45*Рабочий!$L$45,Рабочий!$E$34+Рабочий!$J$45*Рабочий!$L$45&gt;=AVERAGE(S7:T7)),Рабочий!AF84,IF(AVERAGE(S7:T7)&lt;Рабочий!$A$34+Рабочий!$J$45*Рабочий!$L$45,Рабочий!$M$48,Рабочий!$N$48)),"     ")</f>
        <v>     </v>
      </c>
      <c r="T19" s="89" t="str">
        <f>" "</f>
        <v> </v>
      </c>
      <c r="U19" s="93" t="str">
        <f>" "</f>
        <v> </v>
      </c>
      <c r="V19" s="69"/>
      <c r="W19" s="69"/>
      <c r="X19" s="69"/>
      <c r="Y19" s="69"/>
      <c r="Z19" s="69"/>
      <c r="AA19" s="7"/>
    </row>
    <row r="20" spans="2:27" ht="13.5" thickBot="1">
      <c r="B20" s="7"/>
      <c r="C20" s="66"/>
      <c r="D20" s="7"/>
      <c r="E20" s="11"/>
      <c r="H20" s="78" t="s">
        <v>9</v>
      </c>
      <c r="I20" s="79" t="str">
        <f>IF(AND(OR(ISNUMBER(I8),ISNUMBER(J8)),(Рабочий!$E$17=1)),IF(AND(AVERAGE(I8:J8)&gt;=Рабочий!$A$34+Рабочий!$J$45*Рабочий!$L$45,Рабочий!$E$34+Рабочий!$J$45*Рабочий!$L$45&gt;=AVERAGE(I8:J8)),Рабочий!V85,IF(AVERAGE(I8:J8)&lt;Рабочий!$A$34+Рабочий!$J$45*Рабочий!$L$45,Рабочий!$M$48,Рабочий!$N$48)),"     ")</f>
        <v>     </v>
      </c>
      <c r="J20" s="85" t="str">
        <f aca="true" t="shared" si="0" ref="J20:T26">" "</f>
        <v> </v>
      </c>
      <c r="K20" s="79" t="str">
        <f>IF(AND(OR(ISNUMBER(K8),ISNUMBER(L8)),(Рабочий!$E$17=1)),IF(AND(AVERAGE(K8:L8)&gt;=Рабочий!$A$34+Рабочий!$J$45*Рабочий!$L$45,Рабочий!$E$34+Рабочий!$J$45*Рабочий!$L$45&gt;=AVERAGE(K8:L8)),Рабочий!X85,IF(AVERAGE(K8:L8)&lt;Рабочий!$A$34+Рабочий!$J$45*Рабочий!$L$45,Рабочий!$M$48,Рабочий!$N$48)),"     ")</f>
        <v>     </v>
      </c>
      <c r="L20" s="85" t="str">
        <f t="shared" si="0"/>
        <v> </v>
      </c>
      <c r="M20" s="79" t="str">
        <f>IF(AND(OR(ISNUMBER(M8),ISNUMBER(N8)),(Рабочий!$E$17=1)),IF(AND(AVERAGE(M8:N8)&gt;=Рабочий!$A$34+Рабочий!$J$45*Рабочий!$L$45,Рабочий!$E$34+Рабочий!$J$45*Рабочий!$L$45&gt;=AVERAGE(M8:N8)),Рабочий!Z85,IF(AVERAGE(M8:N8)&lt;Рабочий!$A$34+Рабочий!$J$45*Рабочий!$L$45,Рабочий!$M$48,Рабочий!$N$48)),"     ")</f>
        <v>     </v>
      </c>
      <c r="N20" s="85" t="str">
        <f t="shared" si="0"/>
        <v> </v>
      </c>
      <c r="O20" s="79" t="str">
        <f>IF(AND(OR(ISNUMBER(O8),ISNUMBER(P8)),(Рабочий!$E$17=1)),IF(AND(AVERAGE(O8:P8)&gt;=Рабочий!$A$34+Рабочий!$J$45*Рабочий!$L$45,Рабочий!$E$34+Рабочий!$J$45*Рабочий!$L$45&gt;=AVERAGE(O8:P8)),Рабочий!AB85,IF(AVERAGE(O8:P8)&lt;Рабочий!$A$34+Рабочий!$J$45*Рабочий!$L$45,Рабочий!$M$48,Рабочий!$N$48)),"     ")</f>
        <v>     </v>
      </c>
      <c r="P20" s="85" t="str">
        <f t="shared" si="0"/>
        <v> </v>
      </c>
      <c r="Q20" s="79" t="str">
        <f>IF(AND(OR(ISNUMBER(Q8),ISNUMBER(R8)),(Рабочий!$E$17=1)),IF(AND(AVERAGE(Q8:R8)&gt;=Рабочий!$A$34+Рабочий!$J$45*Рабочий!$L$45,Рабочий!$E$34+Рабочий!$J$45*Рабочий!$L$45&gt;=AVERAGE(Q8:R8)),Рабочий!AD85,IF(AVERAGE(Q8:R8)&lt;Рабочий!$A$34+Рабочий!$J$45*Рабочий!$L$45,Рабочий!$M$48,Рабочий!$N$48)),"     ")</f>
        <v>     </v>
      </c>
      <c r="R20" s="85" t="str">
        <f t="shared" si="0"/>
        <v> </v>
      </c>
      <c r="S20" s="79" t="str">
        <f>IF(AND(OR(ISNUMBER(S8),ISNUMBER(T8)),(Рабочий!$E$17=1)),IF(AND(AVERAGE(S8:T8)&gt;=Рабочий!$A$34+Рабочий!$J$45*Рабочий!$L$45,Рабочий!$E$34+Рабочий!$J$45*Рабочий!$L$45&gt;=AVERAGE(S8:T8)),Рабочий!AF85,IF(AVERAGE(S8:T8)&lt;Рабочий!$A$34+Рабочий!$J$45*Рабочий!$L$45,Рабочий!$M$48,Рабочий!$N$48)),"     ")</f>
        <v>     </v>
      </c>
      <c r="T20" s="90" t="str">
        <f t="shared" si="0"/>
        <v> </v>
      </c>
      <c r="U20" s="91"/>
      <c r="V20" s="69"/>
      <c r="W20" s="69"/>
      <c r="X20" s="69"/>
      <c r="Y20" s="69"/>
      <c r="Z20" s="69"/>
      <c r="AA20" s="7"/>
    </row>
    <row r="21" spans="2:27" ht="12.75" customHeight="1" thickBot="1">
      <c r="B21" s="27"/>
      <c r="C21" s="66"/>
      <c r="D21" s="27"/>
      <c r="E21" s="27"/>
      <c r="H21" s="78" t="s">
        <v>10</v>
      </c>
      <c r="I21" s="79" t="str">
        <f>IF(AND(OR(ISNUMBER(I9),ISNUMBER(J9)),(Рабочий!$E$17=1)),IF(AND(AVERAGE(I9:J9)&gt;=Рабочий!$A$34+Рабочий!$J$45*Рабочий!$L$45,Рабочий!$E$34+Рабочий!$J$45*Рабочий!$L$45&gt;=AVERAGE(I9:J9)),Рабочий!V86,IF(AVERAGE(I9:J9)&lt;Рабочий!$A$34+Рабочий!$J$45*Рабочий!$L$45,Рабочий!$M$48,Рабочий!$N$48)),"     ")</f>
        <v>     </v>
      </c>
      <c r="J21" s="85" t="str">
        <f t="shared" si="0"/>
        <v> </v>
      </c>
      <c r="K21" s="79" t="str">
        <f>IF(AND(OR(ISNUMBER(K9),ISNUMBER(L9)),(Рабочий!$E$17=1)),IF(AND(AVERAGE(K9:L9)&gt;=Рабочий!$A$34+Рабочий!$J$45*Рабочий!$L$45,Рабочий!$E$34+Рабочий!$J$45*Рабочий!$L$45&gt;=AVERAGE(K9:L9)),Рабочий!X86,IF(AVERAGE(K9:L9)&lt;Рабочий!$A$34+Рабочий!$J$45*Рабочий!$L$45,Рабочий!$M$48,Рабочий!$N$48)),"     ")</f>
        <v>     </v>
      </c>
      <c r="L21" s="85" t="str">
        <f t="shared" si="0"/>
        <v> </v>
      </c>
      <c r="M21" s="79" t="str">
        <f>IF(AND(OR(ISNUMBER(M9),ISNUMBER(N9)),(Рабочий!$E$17=1)),IF(AND(AVERAGE(M9:N9)&gt;=Рабочий!$A$34+Рабочий!$J$45*Рабочий!$L$45,Рабочий!$E$34+Рабочий!$J$45*Рабочий!$L$45&gt;=AVERAGE(M9:N9)),Рабочий!Z86,IF(AVERAGE(M9:N9)&lt;Рабочий!$A$34+Рабочий!$J$45*Рабочий!$L$45,Рабочий!$M$48,Рабочий!$N$48)),"     ")</f>
        <v>     </v>
      </c>
      <c r="N21" s="85" t="str">
        <f t="shared" si="0"/>
        <v> </v>
      </c>
      <c r="O21" s="79" t="str">
        <f>IF(AND(OR(ISNUMBER(O9),ISNUMBER(P9)),(Рабочий!$E$17=1)),IF(AND(AVERAGE(O9:P9)&gt;=Рабочий!$A$34+Рабочий!$J$45*Рабочий!$L$45,Рабочий!$E$34+Рабочий!$J$45*Рабочий!$L$45&gt;=AVERAGE(O9:P9)),Рабочий!AB86,IF(AVERAGE(O9:P9)&lt;Рабочий!$A$34+Рабочий!$J$45*Рабочий!$L$45,Рабочий!$M$48,Рабочий!$N$48)),"     ")</f>
        <v>     </v>
      </c>
      <c r="P21" s="85" t="str">
        <f t="shared" si="0"/>
        <v> </v>
      </c>
      <c r="Q21" s="79" t="str">
        <f>IF(AND(OR(ISNUMBER(Q9),ISNUMBER(R9)),(Рабочий!$E$17=1)),IF(AND(AVERAGE(Q9:R9)&gt;=Рабочий!$A$34+Рабочий!$J$45*Рабочий!$L$45,Рабочий!$E$34+Рабочий!$J$45*Рабочий!$L$45&gt;=AVERAGE(Q9:R9)),Рабочий!AD86,IF(AVERAGE(Q9:R9)&lt;Рабочий!$A$34+Рабочий!$J$45*Рабочий!$L$45,Рабочий!$M$48,Рабочий!$N$48)),"     ")</f>
        <v>     </v>
      </c>
      <c r="R21" s="85" t="str">
        <f t="shared" si="0"/>
        <v> </v>
      </c>
      <c r="S21" s="79" t="str">
        <f>IF(AND(OR(ISNUMBER(S9),ISNUMBER(T9)),(Рабочий!$E$17=1)),IF(AND(AVERAGE(S9:T9)&gt;=Рабочий!$A$34+Рабочий!$J$45*Рабочий!$L$45,Рабочий!$E$34+Рабочий!$J$45*Рабочий!$L$45&gt;=AVERAGE(S9:T9)),Рабочий!AF86,IF(AVERAGE(S9:T9)&lt;Рабочий!$A$34+Рабочий!$J$45*Рабочий!$L$45,Рабочий!$M$48,Рабочий!$N$48)),"     ")</f>
        <v>     </v>
      </c>
      <c r="T21" s="90" t="str">
        <f t="shared" si="0"/>
        <v> </v>
      </c>
      <c r="U21" s="91"/>
      <c r="V21" s="69"/>
      <c r="W21" s="69"/>
      <c r="X21" s="69"/>
      <c r="Y21" s="69"/>
      <c r="Z21" s="69"/>
      <c r="AA21" s="7"/>
    </row>
    <row r="22" spans="2:27" ht="13.5" thickBot="1">
      <c r="B22" s="27"/>
      <c r="C22" s="66"/>
      <c r="D22" s="27"/>
      <c r="E22" s="27"/>
      <c r="H22" s="78" t="s">
        <v>11</v>
      </c>
      <c r="I22" s="79" t="str">
        <f>IF(AND(OR(ISNUMBER(I10),ISNUMBER(J10)),(Рабочий!$E$17=1)),IF(AND(AVERAGE(I10:J10)&gt;=Рабочий!$A$34+Рабочий!$J$45*Рабочий!$L$45,Рабочий!$E$34+Рабочий!$J$45*Рабочий!$L$45&gt;=AVERAGE(I10:J10)),Рабочий!V87,IF(AVERAGE(I10:J10)&lt;Рабочий!$A$34+Рабочий!$J$45*Рабочий!$L$45,Рабочий!$M$48,Рабочий!$N$48)),"     ")</f>
        <v>     </v>
      </c>
      <c r="J22" s="85" t="str">
        <f t="shared" si="0"/>
        <v> </v>
      </c>
      <c r="K22" s="79" t="str">
        <f>IF(AND(OR(ISNUMBER(K10),ISNUMBER(L10)),(Рабочий!$E$17=1)),IF(AND(AVERAGE(K10:L10)&gt;=Рабочий!$A$34+Рабочий!$J$45*Рабочий!$L$45,Рабочий!$E$34+Рабочий!$J$45*Рабочий!$L$45&gt;=AVERAGE(K10:L10)),Рабочий!X87,IF(AVERAGE(K10:L10)&lt;Рабочий!$A$34+Рабочий!$J$45*Рабочий!$L$45,Рабочий!$M$48,Рабочий!$N$48)),"     ")</f>
        <v>     </v>
      </c>
      <c r="L22" s="85" t="str">
        <f t="shared" si="0"/>
        <v> </v>
      </c>
      <c r="M22" s="79" t="str">
        <f>IF(AND(OR(ISNUMBER(M10),ISNUMBER(N10)),(Рабочий!$E$17=1)),IF(AND(AVERAGE(M10:N10)&gt;=Рабочий!$A$34+Рабочий!$J$45*Рабочий!$L$45,Рабочий!$E$34+Рабочий!$J$45*Рабочий!$L$45&gt;=AVERAGE(M10:N10)),Рабочий!Z87,IF(AVERAGE(M10:N10)&lt;Рабочий!$A$34+Рабочий!$J$45*Рабочий!$L$45,Рабочий!$M$48,Рабочий!$N$48)),"     ")</f>
        <v>     </v>
      </c>
      <c r="N22" s="85" t="str">
        <f t="shared" si="0"/>
        <v> </v>
      </c>
      <c r="O22" s="79" t="str">
        <f>IF(AND(OR(ISNUMBER(O10),ISNUMBER(P10)),(Рабочий!$E$17=1)),IF(AND(AVERAGE(O10:P10)&gt;=Рабочий!$A$34+Рабочий!$J$45*Рабочий!$L$45,Рабочий!$E$34+Рабочий!$J$45*Рабочий!$L$45&gt;=AVERAGE(O10:P10)),Рабочий!AB87,IF(AVERAGE(O10:P10)&lt;Рабочий!$A$34+Рабочий!$J$45*Рабочий!$L$45,Рабочий!$M$48,Рабочий!$N$48)),"     ")</f>
        <v>     </v>
      </c>
      <c r="P22" s="85" t="str">
        <f t="shared" si="0"/>
        <v> </v>
      </c>
      <c r="Q22" s="79" t="str">
        <f>IF(AND(OR(ISNUMBER(Q10),ISNUMBER(R10)),(Рабочий!$E$17=1)),IF(AND(AVERAGE(Q10:R10)&gt;=Рабочий!$A$34+Рабочий!$J$45*Рабочий!$L$45,Рабочий!$E$34+Рабочий!$J$45*Рабочий!$L$45&gt;=AVERAGE(Q10:R10)),Рабочий!AD87,IF(AVERAGE(Q10:R10)&lt;Рабочий!$A$34+Рабочий!$J$45*Рабочий!$L$45,Рабочий!$M$48,Рабочий!$N$48)),"     ")</f>
        <v>     </v>
      </c>
      <c r="R22" s="85" t="str">
        <f t="shared" si="0"/>
        <v> </v>
      </c>
      <c r="S22" s="79" t="str">
        <f>IF(AND(OR(ISNUMBER(S10),ISNUMBER(T10)),(Рабочий!$E$17=1)),IF(AND(AVERAGE(S10:T10)&gt;=Рабочий!$A$34+Рабочий!$J$45*Рабочий!$L$45,Рабочий!$E$34+Рабочий!$J$45*Рабочий!$L$45&gt;=AVERAGE(S10:T10)),Рабочий!AF87,IF(AVERAGE(S10:T10)&lt;Рабочий!$A$34+Рабочий!$J$45*Рабочий!$L$45,Рабочий!$M$48,Рабочий!$N$48)),"     ")</f>
        <v>     </v>
      </c>
      <c r="T22" s="90" t="str">
        <f t="shared" si="0"/>
        <v> </v>
      </c>
      <c r="U22" s="91"/>
      <c r="V22" s="69"/>
      <c r="W22" s="69"/>
      <c r="X22" s="69"/>
      <c r="Y22" s="69"/>
      <c r="Z22" s="69"/>
      <c r="AA22" s="7"/>
    </row>
    <row r="23" spans="2:27" ht="13.5" thickBot="1">
      <c r="B23" s="27"/>
      <c r="C23" s="27"/>
      <c r="D23" s="27"/>
      <c r="E23" s="27"/>
      <c r="H23" s="78" t="s">
        <v>12</v>
      </c>
      <c r="I23" s="79" t="str">
        <f>IF(AND(OR(ISNUMBER(I11),ISNUMBER(J11)),(Рабочий!$E$17=1)),IF(AND(AVERAGE(I11:J11)&gt;=Рабочий!$A$34+Рабочий!$J$45*Рабочий!$L$45,Рабочий!$E$34+Рабочий!$J$45*Рабочий!$L$45&gt;=AVERAGE(I11:J11)),Рабочий!V88,IF(AVERAGE(I11:J11)&lt;Рабочий!$A$34+Рабочий!$J$45*Рабочий!$L$45,Рабочий!$M$48,Рабочий!$N$48)),"     ")</f>
        <v>     </v>
      </c>
      <c r="J23" s="85" t="str">
        <f t="shared" si="0"/>
        <v> </v>
      </c>
      <c r="K23" s="79" t="str">
        <f>IF(AND(OR(ISNUMBER(K11),ISNUMBER(L11)),(Рабочий!$E$17=1)),IF(AND(AVERAGE(K11:L11)&gt;=Рабочий!$A$34+Рабочий!$J$45*Рабочий!$L$45,Рабочий!$E$34+Рабочий!$J$45*Рабочий!$L$45&gt;=AVERAGE(K11:L11)),Рабочий!X88,IF(AVERAGE(K11:L11)&lt;Рабочий!$A$34+Рабочий!$J$45*Рабочий!$L$45,Рабочий!$M$48,Рабочий!$N$48)),"     ")</f>
        <v>     </v>
      </c>
      <c r="L23" s="85" t="str">
        <f t="shared" si="0"/>
        <v> </v>
      </c>
      <c r="M23" s="79" t="str">
        <f>IF(AND(OR(ISNUMBER(M11),ISNUMBER(N11)),(Рабочий!$E$17=1)),IF(AND(AVERAGE(M11:N11)&gt;=Рабочий!$A$34+Рабочий!$J$45*Рабочий!$L$45,Рабочий!$E$34+Рабочий!$J$45*Рабочий!$L$45&gt;=AVERAGE(M11:N11)),Рабочий!Z88,IF(AVERAGE(M11:N11)&lt;Рабочий!$A$34+Рабочий!$J$45*Рабочий!$L$45,Рабочий!$M$48,Рабочий!$N$48)),"     ")</f>
        <v>     </v>
      </c>
      <c r="N23" s="85" t="str">
        <f t="shared" si="0"/>
        <v> </v>
      </c>
      <c r="O23" s="79" t="str">
        <f>IF(AND(OR(ISNUMBER(O11),ISNUMBER(P11)),(Рабочий!$E$17=1)),IF(AND(AVERAGE(O11:P11)&gt;=Рабочий!$A$34+Рабочий!$J$45*Рабочий!$L$45,Рабочий!$E$34+Рабочий!$J$45*Рабочий!$L$45&gt;=AVERAGE(O11:P11)),Рабочий!AB88,IF(AVERAGE(O11:P11)&lt;Рабочий!$A$34+Рабочий!$J$45*Рабочий!$L$45,Рабочий!$M$48,Рабочий!$N$48)),"     ")</f>
        <v>     </v>
      </c>
      <c r="P23" s="85" t="str">
        <f t="shared" si="0"/>
        <v> </v>
      </c>
      <c r="Q23" s="79" t="str">
        <f>IF(AND(OR(ISNUMBER(Q11),ISNUMBER(R11)),(Рабочий!$E$17=1)),IF(AND(AVERAGE(Q11:R11)&gt;=Рабочий!$A$34+Рабочий!$J$45*Рабочий!$L$45,Рабочий!$E$34+Рабочий!$J$45*Рабочий!$L$45&gt;=AVERAGE(Q11:R11)),Рабочий!AD88,IF(AVERAGE(Q11:R11)&lt;Рабочий!$A$34+Рабочий!$J$45*Рабочий!$L$45,Рабочий!$M$48,Рабочий!$N$48)),"     ")</f>
        <v>     </v>
      </c>
      <c r="R23" s="85" t="str">
        <f t="shared" si="0"/>
        <v> </v>
      </c>
      <c r="S23" s="79" t="str">
        <f>IF(AND(OR(ISNUMBER(S11),ISNUMBER(T11)),(Рабочий!$E$17=1)),IF(AND(AVERAGE(S11:T11)&gt;=Рабочий!$A$34+Рабочий!$J$45*Рабочий!$L$45,Рабочий!$E$34+Рабочий!$J$45*Рабочий!$L$45&gt;=AVERAGE(S11:T11)),Рабочий!AF88,IF(AVERAGE(S11:T11)&lt;Рабочий!$A$34+Рабочий!$J$45*Рабочий!$L$45,Рабочий!$M$48,Рабочий!$N$48)),"     ")</f>
        <v>     </v>
      </c>
      <c r="T23" s="90" t="str">
        <f t="shared" si="0"/>
        <v> </v>
      </c>
      <c r="U23" s="91"/>
      <c r="V23" s="69"/>
      <c r="W23" s="69"/>
      <c r="X23" s="69"/>
      <c r="Y23" s="69"/>
      <c r="Z23" s="69"/>
      <c r="AA23" s="7"/>
    </row>
    <row r="24" spans="6:27" ht="12.75" customHeight="1" thickBot="1">
      <c r="F24" s="12"/>
      <c r="H24" s="78" t="s">
        <v>13</v>
      </c>
      <c r="I24" s="79" t="str">
        <f>IF(AND(OR(ISNUMBER(I12),ISNUMBER(J12)),(Рабочий!$E$17=1)),IF(AND(AVERAGE(I12:J12)&gt;=Рабочий!$A$34+Рабочий!$J$45*Рабочий!$L$45,Рабочий!$E$34+Рабочий!$J$45*Рабочий!$L$45&gt;=AVERAGE(I12:J12)),Рабочий!V89,IF(AVERAGE(I12:J12)&lt;Рабочий!$A$34+Рабочий!$J$45*Рабочий!$L$45,Рабочий!$M$48,Рабочий!$N$48)),"     ")</f>
        <v>     </v>
      </c>
      <c r="J24" s="85" t="str">
        <f t="shared" si="0"/>
        <v> </v>
      </c>
      <c r="K24" s="79" t="str">
        <f>IF(AND(OR(ISNUMBER(K12),ISNUMBER(L12)),(Рабочий!$E$17=1)),IF(AND(AVERAGE(K12:L12)&gt;=Рабочий!$A$34+Рабочий!$J$45*Рабочий!$L$45,Рабочий!$E$34+Рабочий!$J$45*Рабочий!$L$45&gt;=AVERAGE(K12:L12)),Рабочий!X89,IF(AVERAGE(K12:L12)&lt;Рабочий!$A$34+Рабочий!$J$45*Рабочий!$L$45,Рабочий!$M$48,Рабочий!$N$48)),"     ")</f>
        <v>     </v>
      </c>
      <c r="L24" s="85" t="str">
        <f t="shared" si="0"/>
        <v> </v>
      </c>
      <c r="M24" s="79" t="str">
        <f>IF(AND(OR(ISNUMBER(M12),ISNUMBER(N12)),(Рабочий!$E$17=1)),IF(AND(AVERAGE(M12:N12)&gt;=Рабочий!$A$34+Рабочий!$J$45*Рабочий!$L$45,Рабочий!$E$34+Рабочий!$J$45*Рабочий!$L$45&gt;=AVERAGE(M12:N12)),Рабочий!Z89,IF(AVERAGE(M12:N12)&lt;Рабочий!$A$34+Рабочий!$J$45*Рабочий!$L$45,Рабочий!$M$48,Рабочий!$N$48)),"     ")</f>
        <v>     </v>
      </c>
      <c r="N24" s="85" t="str">
        <f t="shared" si="0"/>
        <v> </v>
      </c>
      <c r="O24" s="79" t="str">
        <f>IF(AND(OR(ISNUMBER(O12),ISNUMBER(P12)),(Рабочий!$E$17=1)),IF(AND(AVERAGE(O12:P12)&gt;=Рабочий!$A$34+Рабочий!$J$45*Рабочий!$L$45,Рабочий!$E$34+Рабочий!$J$45*Рабочий!$L$45&gt;=AVERAGE(O12:P12)),Рабочий!AB89,IF(AVERAGE(O12:P12)&lt;Рабочий!$A$34+Рабочий!$J$45*Рабочий!$L$45,Рабочий!$M$48,Рабочий!$N$48)),"     ")</f>
        <v>     </v>
      </c>
      <c r="P24" s="85" t="str">
        <f t="shared" si="0"/>
        <v> </v>
      </c>
      <c r="Q24" s="79" t="str">
        <f>IF(AND(OR(ISNUMBER(Q12),ISNUMBER(R12)),(Рабочий!$E$17=1)),IF(AND(AVERAGE(Q12:R12)&gt;=Рабочий!$A$34+Рабочий!$J$45*Рабочий!$L$45,Рабочий!$E$34+Рабочий!$J$45*Рабочий!$L$45&gt;=AVERAGE(Q12:R12)),Рабочий!AD89,IF(AVERAGE(Q12:R12)&lt;Рабочий!$A$34+Рабочий!$J$45*Рабочий!$L$45,Рабочий!$M$48,Рабочий!$N$48)),"     ")</f>
        <v>     </v>
      </c>
      <c r="R24" s="85" t="str">
        <f t="shared" si="0"/>
        <v> </v>
      </c>
      <c r="S24" s="79" t="str">
        <f>IF(AND(OR(ISNUMBER(S12),ISNUMBER(T12)),(Рабочий!$E$17=1)),IF(AND(AVERAGE(S12:T12)&gt;=Рабочий!$A$34+Рабочий!$J$45*Рабочий!$L$45,Рабочий!$E$34+Рабочий!$J$45*Рабочий!$L$45&gt;=AVERAGE(S12:T12)),Рабочий!AF89,IF(AVERAGE(S12:T12)&lt;Рабочий!$A$34+Рабочий!$J$45*Рабочий!$L$45,Рабочий!$M$48,Рабочий!$N$48)),"     ")</f>
        <v>     </v>
      </c>
      <c r="T24" s="90" t="str">
        <f t="shared" si="0"/>
        <v> </v>
      </c>
      <c r="U24" s="91"/>
      <c r="V24" s="69"/>
      <c r="W24" s="69"/>
      <c r="X24" s="69"/>
      <c r="Y24" s="69"/>
      <c r="Z24" s="69"/>
      <c r="AA24" s="7"/>
    </row>
    <row r="25" spans="8:27" ht="13.5" thickBot="1">
      <c r="H25" s="78" t="s">
        <v>14</v>
      </c>
      <c r="I25" s="79" t="str">
        <f>IF(AND(OR(ISNUMBER(I13),ISNUMBER(J13)),(Рабочий!$E$17=1)),IF(AND(AVERAGE(I13:J13)&gt;=Рабочий!$A$34+Рабочий!$J$45*Рабочий!$L$45,Рабочий!$E$34+Рабочий!$J$45*Рабочий!$L$45&gt;=AVERAGE(I13:J13)),Рабочий!V90,IF(AVERAGE(I13:J13)&lt;Рабочий!$A$34+Рабочий!$J$45*Рабочий!$L$45,Рабочий!$M$48,Рабочий!$N$48)),"     ")</f>
        <v>     </v>
      </c>
      <c r="J25" s="85" t="str">
        <f t="shared" si="0"/>
        <v> </v>
      </c>
      <c r="K25" s="79" t="str">
        <f>IF(AND(OR(ISNUMBER(K13),ISNUMBER(L13)),(Рабочий!$E$17=1)),IF(AND(AVERAGE(K13:L13)&gt;=Рабочий!$A$34+Рабочий!$J$45*Рабочий!$L$45,Рабочий!$E$34+Рабочий!$J$45*Рабочий!$L$45&gt;=AVERAGE(K13:L13)),Рабочий!X90,IF(AVERAGE(K13:L13)&lt;Рабочий!$A$34+Рабочий!$J$45*Рабочий!$L$45,Рабочий!$M$48,Рабочий!$N$48)),"     ")</f>
        <v>     </v>
      </c>
      <c r="L25" s="85" t="str">
        <f t="shared" si="0"/>
        <v> </v>
      </c>
      <c r="M25" s="79" t="str">
        <f>IF(AND(OR(ISNUMBER(M13),ISNUMBER(N13)),(Рабочий!$E$17=1)),IF(AND(AVERAGE(M13:N13)&gt;=Рабочий!$A$34+Рабочий!$J$45*Рабочий!$L$45,Рабочий!$E$34+Рабочий!$J$45*Рабочий!$L$45&gt;=AVERAGE(M13:N13)),Рабочий!Z90,IF(AVERAGE(M13:N13)&lt;Рабочий!$A$34+Рабочий!$J$45*Рабочий!$L$45,Рабочий!$M$48,Рабочий!$N$48)),"     ")</f>
        <v>     </v>
      </c>
      <c r="N25" s="85" t="str">
        <f t="shared" si="0"/>
        <v> </v>
      </c>
      <c r="O25" s="79" t="str">
        <f>IF(AND(OR(ISNUMBER(O13),ISNUMBER(P13)),(Рабочий!$E$17=1)),IF(AND(AVERAGE(O13:P13)&gt;=Рабочий!$A$34+Рабочий!$J$45*Рабочий!$L$45,Рабочий!$E$34+Рабочий!$J$45*Рабочий!$L$45&gt;=AVERAGE(O13:P13)),Рабочий!AB90,IF(AVERAGE(O13:P13)&lt;Рабочий!$A$34+Рабочий!$J$45*Рабочий!$L$45,Рабочий!$M$48,Рабочий!$N$48)),"     ")</f>
        <v>     </v>
      </c>
      <c r="P25" s="85" t="str">
        <f t="shared" si="0"/>
        <v> </v>
      </c>
      <c r="Q25" s="79" t="str">
        <f>IF(AND(OR(ISNUMBER(Q13),ISNUMBER(R13)),(Рабочий!$E$17=1)),IF(AND(AVERAGE(Q13:R13)&gt;=Рабочий!$A$34+Рабочий!$J$45*Рабочий!$L$45,Рабочий!$E$34+Рабочий!$J$45*Рабочий!$L$45&gt;=AVERAGE(Q13:R13)),Рабочий!AD90,IF(AVERAGE(Q13:R13)&lt;Рабочий!$A$34+Рабочий!$J$45*Рабочий!$L$45,Рабочий!$M$48,Рабочий!$N$48)),"     ")</f>
        <v>     </v>
      </c>
      <c r="R25" s="85" t="str">
        <f t="shared" si="0"/>
        <v> </v>
      </c>
      <c r="S25" s="79" t="str">
        <f>IF(AND(OR(ISNUMBER(S13),ISNUMBER(T13)),(Рабочий!$E$17=1)),IF(AND(AVERAGE(S13:T13)&gt;=Рабочий!$A$34+Рабочий!$J$45*Рабочий!$L$45,Рабочий!$E$34+Рабочий!$J$45*Рабочий!$L$45&gt;=AVERAGE(S13:T13)),Рабочий!AF90,IF(AVERAGE(S13:T13)&lt;Рабочий!$A$34+Рабочий!$J$45*Рабочий!$L$45,Рабочий!$M$48,Рабочий!$N$48)),"     ")</f>
        <v>     </v>
      </c>
      <c r="T25" s="90" t="str">
        <f t="shared" si="0"/>
        <v> </v>
      </c>
      <c r="U25" s="91"/>
      <c r="V25" s="7"/>
      <c r="W25" s="7"/>
      <c r="X25" s="7"/>
      <c r="Y25" s="7"/>
      <c r="Z25" s="7"/>
      <c r="AA25" s="7"/>
    </row>
    <row r="26" spans="8:21" ht="12.75" customHeight="1" thickBot="1">
      <c r="H26" s="78" t="s">
        <v>15</v>
      </c>
      <c r="I26" s="79" t="str">
        <f>IF(AND(OR(ISNUMBER(I14),ISNUMBER(J14)),(Рабочий!$E$17=1)),IF(AND(AVERAGE(I14:J14)&gt;=Рабочий!$A$34+Рабочий!$J$45*Рабочий!$L$45,Рабочий!$E$34+Рабочий!$J$45*Рабочий!$L$45&gt;=AVERAGE(I14:J14)),Рабочий!V91,IF(AVERAGE(I14:J14)&lt;Рабочий!$A$34+Рабочий!$J$45*Рабочий!$L$45,Рабочий!$M$48,Рабочий!$N$48)),"     ")</f>
        <v>     </v>
      </c>
      <c r="J26" s="86" t="str">
        <f t="shared" si="0"/>
        <v> </v>
      </c>
      <c r="K26" s="79" t="str">
        <f>IF(AND(OR(ISNUMBER(K14),ISNUMBER(L14)),(Рабочий!$E$17=1)),IF(AND(AVERAGE(K14:L14)&gt;=Рабочий!$A$34+Рабочий!$J$45*Рабочий!$L$45,Рабочий!$E$34+Рабочий!$J$45*Рабочий!$L$45&gt;=AVERAGE(K14:L14)),Рабочий!X91,IF(AVERAGE(K14:L14)&lt;Рабочий!$A$34+Рабочий!$J$45*Рабочий!$L$45,Рабочий!$M$48,Рабочий!$N$48)),"     ")</f>
        <v>     </v>
      </c>
      <c r="L26" s="86" t="str">
        <f t="shared" si="0"/>
        <v> </v>
      </c>
      <c r="M26" s="79" t="str">
        <f>IF(AND(OR(ISNUMBER(M14),ISNUMBER(N14)),(Рабочий!$E$17=1)),IF(AND(AVERAGE(M14:N14)&gt;=Рабочий!$A$34+Рабочий!$J$45*Рабочий!$L$45,Рабочий!$E$34+Рабочий!$J$45*Рабочий!$L$45&gt;=AVERAGE(M14:N14)),Рабочий!Z91,IF(AVERAGE(M14:N14)&lt;Рабочий!$A$34+Рабочий!$J$45*Рабочий!$L$45,Рабочий!$M$48,Рабочий!$N$48)),"     ")</f>
        <v>     </v>
      </c>
      <c r="N26" s="86" t="str">
        <f t="shared" si="0"/>
        <v> </v>
      </c>
      <c r="O26" s="79" t="str">
        <f>IF(AND(OR(ISNUMBER(O14),ISNUMBER(P14)),(Рабочий!$E$17=1)),IF(AND(AVERAGE(O14:P14)&gt;=Рабочий!$A$34+Рабочий!$J$45*Рабочий!$L$45,Рабочий!$E$34+Рабочий!$J$45*Рабочий!$L$45&gt;=AVERAGE(O14:P14)),Рабочий!AB91,IF(AVERAGE(O14:P14)&lt;Рабочий!$A$34+Рабочий!$J$45*Рабочий!$L$45,Рабочий!$M$48,Рабочий!$N$48)),"     ")</f>
        <v>     </v>
      </c>
      <c r="P26" s="86" t="str">
        <f t="shared" si="0"/>
        <v> </v>
      </c>
      <c r="Q26" s="79" t="str">
        <f>IF(AND(OR(ISNUMBER(Q14),ISNUMBER(R14)),(Рабочий!$E$17=1)),IF(AND(AVERAGE(Q14:R14)&gt;=Рабочий!$A$34+Рабочий!$J$45*Рабочий!$L$45,Рабочий!$E$34+Рабочий!$J$45*Рабочий!$L$45&gt;=AVERAGE(Q14:R14)),Рабочий!AD91,IF(AVERAGE(Q14:R14)&lt;Рабочий!$A$34+Рабочий!$J$45*Рабочий!$L$45,Рабочий!$M$48,Рабочий!$N$48)),"     ")</f>
        <v>     </v>
      </c>
      <c r="R26" s="86" t="str">
        <f t="shared" si="0"/>
        <v> </v>
      </c>
      <c r="S26" s="79" t="str">
        <f>IF(AND(OR(ISNUMBER(S14),ISNUMBER(T14)),(Рабочий!$E$17=1)),IF(AND(AVERAGE(S14:T14)&gt;=Рабочий!$A$34+Рабочий!$J$45*Рабочий!$L$45,Рабочий!$E$34+Рабочий!$J$45*Рабочий!$L$45&gt;=AVERAGE(S14:T14)),Рабочий!AF91,IF(AVERAGE(S14:T14)&lt;Рабочий!$A$34+Рабочий!$J$45*Рабочий!$L$45,Рабочий!$M$48,Рабочий!$N$48)),"     ")</f>
        <v>     </v>
      </c>
      <c r="T26" s="92" t="str">
        <f t="shared" si="0"/>
        <v> </v>
      </c>
      <c r="U26" s="91"/>
    </row>
    <row r="27" ht="12.75">
      <c r="F27" s="5"/>
    </row>
    <row r="28" spans="2:17" ht="12.75">
      <c r="B28" s="7"/>
      <c r="C28" s="7"/>
      <c r="D28" s="7"/>
      <c r="E28" s="7"/>
      <c r="I28" s="73"/>
      <c r="J28" s="75" t="str">
        <f>CONCATENATE("-сыворотки с пониженным содержанием ",Рабочий!$H$48)</f>
        <v>-сыворотки с пониженным содержанием анти-ТПО</v>
      </c>
      <c r="P28" s="17"/>
      <c r="Q28" s="14"/>
    </row>
    <row r="29" spans="2:10" ht="12.75">
      <c r="B29" s="7"/>
      <c r="C29" s="7"/>
      <c r="D29" s="7"/>
      <c r="E29" s="7"/>
      <c r="I29" s="74"/>
      <c r="J29" s="75" t="str">
        <f>CONCATENATE("-сыворотки с повышенным содержанием ",Рабочий!$H$48)</f>
        <v>-сыворотки с повышенным содержанием анти-ТПО</v>
      </c>
    </row>
    <row r="30" spans="2:5" ht="14.25" customHeight="1">
      <c r="B30" s="7"/>
      <c r="C30" s="7"/>
      <c r="D30" s="7"/>
      <c r="E30" s="7"/>
    </row>
    <row r="31" spans="2:7" ht="14.25" customHeight="1">
      <c r="B31" s="7"/>
      <c r="C31" s="72"/>
      <c r="D31" s="7"/>
      <c r="E31" s="7"/>
      <c r="G31" s="5"/>
    </row>
    <row r="32" spans="2:7" ht="14.25" customHeight="1">
      <c r="B32" s="7"/>
      <c r="C32" s="72"/>
      <c r="D32" s="7"/>
      <c r="E32" s="7"/>
      <c r="G32" s="5"/>
    </row>
    <row r="33" spans="2:7" ht="14.25" customHeight="1">
      <c r="B33" s="7"/>
      <c r="C33" s="72"/>
      <c r="D33" s="7"/>
      <c r="E33" s="7"/>
      <c r="G33" s="5"/>
    </row>
    <row r="34" spans="2:7" ht="14.25" customHeight="1">
      <c r="B34" s="7"/>
      <c r="C34" s="72"/>
      <c r="D34" s="7"/>
      <c r="E34" s="7"/>
      <c r="G34" s="5"/>
    </row>
    <row r="35" spans="2:7" ht="14.25" customHeight="1">
      <c r="B35" s="7"/>
      <c r="C35" s="72"/>
      <c r="D35" s="7"/>
      <c r="E35" s="7"/>
      <c r="G35" s="5"/>
    </row>
    <row r="36" spans="2:7" ht="14.25" customHeight="1">
      <c r="B36" s="7"/>
      <c r="C36" s="72"/>
      <c r="D36" s="7"/>
      <c r="E36" s="7"/>
      <c r="G36" s="5"/>
    </row>
    <row r="37" spans="2:7" ht="14.25" customHeight="1">
      <c r="B37" s="7"/>
      <c r="C37" s="72"/>
      <c r="D37" s="7"/>
      <c r="E37" s="7"/>
      <c r="G37" s="5"/>
    </row>
    <row r="38" spans="2:7" ht="14.25" customHeight="1">
      <c r="B38" s="7"/>
      <c r="C38" s="72"/>
      <c r="D38" s="7"/>
      <c r="E38" s="7"/>
      <c r="G38" s="5"/>
    </row>
    <row r="39" spans="2:7" ht="14.25" customHeight="1">
      <c r="B39" s="7"/>
      <c r="C39" s="72"/>
      <c r="D39" s="7"/>
      <c r="E39" s="7"/>
      <c r="G39" s="5"/>
    </row>
    <row r="40" spans="2:7" ht="14.25" customHeight="1">
      <c r="B40" s="7"/>
      <c r="C40" s="72"/>
      <c r="D40" s="7"/>
      <c r="E40" s="7"/>
      <c r="G40" s="5"/>
    </row>
    <row r="41" spans="2:7" ht="14.25" customHeight="1">
      <c r="B41" s="7"/>
      <c r="C41" s="72"/>
      <c r="D41" s="7"/>
      <c r="E41" s="7"/>
      <c r="G41" s="5"/>
    </row>
    <row r="42" spans="2:7" ht="14.25" customHeight="1">
      <c r="B42" s="7"/>
      <c r="C42" s="72"/>
      <c r="D42" s="7"/>
      <c r="E42" s="7"/>
      <c r="G42" s="5"/>
    </row>
    <row r="43" spans="2:7" ht="14.25" customHeight="1">
      <c r="B43" s="7"/>
      <c r="C43" s="72"/>
      <c r="D43" s="7"/>
      <c r="E43" s="7"/>
      <c r="G43" s="5"/>
    </row>
    <row r="44" spans="2:7" ht="14.25" customHeight="1">
      <c r="B44" s="7"/>
      <c r="C44" s="72"/>
      <c r="D44" s="7"/>
      <c r="E44" s="7"/>
      <c r="G44" s="5"/>
    </row>
    <row r="45" spans="2:7" ht="14.25" customHeight="1">
      <c r="B45" s="7"/>
      <c r="C45" s="99">
        <f>Рабочий!O48</f>
        <v>1E-06</v>
      </c>
      <c r="D45" s="99"/>
      <c r="E45" s="7"/>
      <c r="G45" s="5"/>
    </row>
    <row r="46" spans="2:7" ht="14.25" customHeight="1">
      <c r="B46" s="7"/>
      <c r="C46" s="72"/>
      <c r="D46" s="7"/>
      <c r="E46" s="7"/>
      <c r="G46" s="5"/>
    </row>
    <row r="47" spans="2:7" ht="14.25" customHeight="1">
      <c r="B47" s="7"/>
      <c r="C47" s="72"/>
      <c r="D47" s="7"/>
      <c r="E47" s="7"/>
      <c r="G47" s="5"/>
    </row>
    <row r="48" spans="2:7" ht="14.25" customHeight="1">
      <c r="B48" s="7"/>
      <c r="C48" s="72"/>
      <c r="D48" s="7"/>
      <c r="E48" s="7"/>
      <c r="G48" s="5"/>
    </row>
    <row r="49" spans="2:7" ht="14.25" customHeight="1">
      <c r="B49" s="7"/>
      <c r="C49" s="72"/>
      <c r="D49" s="7"/>
      <c r="E49" s="7"/>
      <c r="G49" s="5"/>
    </row>
    <row r="50" spans="2:7" ht="14.25" customHeight="1">
      <c r="B50" s="7"/>
      <c r="C50" s="72"/>
      <c r="D50" s="7"/>
      <c r="E50" s="7"/>
      <c r="G50" s="5"/>
    </row>
    <row r="51" spans="2:7" ht="14.25" customHeight="1">
      <c r="B51" s="7"/>
      <c r="C51" s="72"/>
      <c r="D51" s="7"/>
      <c r="E51" s="7"/>
      <c r="G51" s="5"/>
    </row>
    <row r="52" spans="2:7" ht="14.25" customHeight="1">
      <c r="B52" s="7"/>
      <c r="C52" s="72"/>
      <c r="D52" s="7"/>
      <c r="E52" s="7"/>
      <c r="G52" s="5"/>
    </row>
    <row r="53" spans="2:7" ht="14.25" customHeight="1">
      <c r="B53" s="7"/>
      <c r="C53" s="72"/>
      <c r="D53" s="7"/>
      <c r="E53" s="7"/>
      <c r="G53" s="5"/>
    </row>
    <row r="54" spans="2:7" ht="14.25" customHeight="1">
      <c r="B54" s="7"/>
      <c r="C54" s="72"/>
      <c r="D54" s="7"/>
      <c r="E54" s="7"/>
      <c r="G54" s="5"/>
    </row>
    <row r="55" spans="2:7" ht="14.25" customHeight="1">
      <c r="B55" s="7"/>
      <c r="C55" s="72"/>
      <c r="D55" s="7"/>
      <c r="E55" s="7"/>
      <c r="G55" s="5"/>
    </row>
    <row r="56" spans="2:7" ht="14.25" customHeight="1">
      <c r="B56" s="7"/>
      <c r="C56" s="72"/>
      <c r="D56" s="7"/>
      <c r="E56" s="7"/>
      <c r="G56" s="5"/>
    </row>
    <row r="57" spans="2:7" ht="14.25" customHeight="1">
      <c r="B57" s="7"/>
      <c r="C57" s="72"/>
      <c r="D57" s="7"/>
      <c r="E57" s="7"/>
      <c r="G57" s="5"/>
    </row>
    <row r="58" spans="2:7" ht="14.25" customHeight="1">
      <c r="B58" s="7"/>
      <c r="C58" s="72"/>
      <c r="D58" s="7"/>
      <c r="E58" s="7"/>
      <c r="G58" s="5"/>
    </row>
    <row r="59" spans="2:7" ht="14.25" customHeight="1">
      <c r="B59" s="7"/>
      <c r="C59" s="72"/>
      <c r="D59" s="7"/>
      <c r="E59" s="7"/>
      <c r="G59" s="5"/>
    </row>
    <row r="60" spans="2:7" ht="14.25" customHeight="1">
      <c r="B60" s="7"/>
      <c r="C60" s="72"/>
      <c r="D60" s="7"/>
      <c r="E60" s="7"/>
      <c r="G60" s="5"/>
    </row>
    <row r="61" spans="2:7" ht="14.25" customHeight="1">
      <c r="B61" s="7"/>
      <c r="C61" s="72"/>
      <c r="D61" s="7"/>
      <c r="E61" s="7"/>
      <c r="G61" s="5"/>
    </row>
    <row r="62" spans="2:7" ht="14.25" customHeight="1">
      <c r="B62" s="7"/>
      <c r="C62" s="72"/>
      <c r="D62" s="7"/>
      <c r="E62" s="7"/>
      <c r="G62" s="5"/>
    </row>
    <row r="63" spans="2:7" ht="14.25" customHeight="1">
      <c r="B63" s="7"/>
      <c r="C63" s="72"/>
      <c r="D63" s="7"/>
      <c r="E63" s="7"/>
      <c r="G63" s="5"/>
    </row>
    <row r="64" spans="2:7" ht="14.25" customHeight="1">
      <c r="B64" s="7"/>
      <c r="C64" s="72"/>
      <c r="D64" s="7"/>
      <c r="E64" s="7"/>
      <c r="G64" s="5"/>
    </row>
    <row r="65" spans="2:7" ht="14.25" customHeight="1">
      <c r="B65" s="7"/>
      <c r="C65" s="72"/>
      <c r="D65" s="7"/>
      <c r="E65" s="7"/>
      <c r="G65" s="5"/>
    </row>
    <row r="66" spans="2:7" ht="14.25" customHeight="1">
      <c r="B66" s="7"/>
      <c r="C66" s="72"/>
      <c r="D66" s="7"/>
      <c r="E66" s="7"/>
      <c r="G66" s="5"/>
    </row>
    <row r="67" spans="2:7" ht="14.25" customHeight="1">
      <c r="B67" s="7"/>
      <c r="C67" s="72"/>
      <c r="D67" s="7"/>
      <c r="E67" s="7"/>
      <c r="G67" s="5"/>
    </row>
    <row r="68" spans="2:7" ht="14.25" customHeight="1">
      <c r="B68" s="7"/>
      <c r="C68" s="72"/>
      <c r="D68" s="7"/>
      <c r="E68" s="7"/>
      <c r="G68" s="5"/>
    </row>
    <row r="69" spans="2:7" ht="14.25" customHeight="1">
      <c r="B69" s="7"/>
      <c r="C69" s="72"/>
      <c r="D69" s="7"/>
      <c r="E69" s="7"/>
      <c r="G69" s="5"/>
    </row>
    <row r="70" spans="2:7" ht="14.25" customHeight="1">
      <c r="B70" s="7"/>
      <c r="C70" s="72"/>
      <c r="D70" s="7"/>
      <c r="E70" s="7"/>
      <c r="G70" s="5"/>
    </row>
    <row r="71" spans="2:7" ht="14.25" customHeight="1">
      <c r="B71" s="7"/>
      <c r="C71" s="72"/>
      <c r="D71" s="7"/>
      <c r="E71" s="7"/>
      <c r="G71" s="5"/>
    </row>
    <row r="72" spans="2:7" ht="14.25" customHeight="1">
      <c r="B72" s="7"/>
      <c r="C72" s="72"/>
      <c r="D72" s="7"/>
      <c r="E72" s="7"/>
      <c r="G72" s="5"/>
    </row>
    <row r="73" spans="2:7" ht="14.25" customHeight="1">
      <c r="B73" s="7"/>
      <c r="C73" s="72"/>
      <c r="D73" s="7"/>
      <c r="E73" s="7"/>
      <c r="G73" s="5"/>
    </row>
    <row r="74" spans="2:7" ht="14.25" customHeight="1">
      <c r="B74" s="7"/>
      <c r="C74" s="72"/>
      <c r="D74" s="7"/>
      <c r="E74" s="7"/>
      <c r="G74" s="5"/>
    </row>
    <row r="75" spans="2:7" ht="14.25" customHeight="1">
      <c r="B75" s="7"/>
      <c r="C75" s="72"/>
      <c r="D75" s="7"/>
      <c r="E75" s="7"/>
      <c r="G75" s="5"/>
    </row>
    <row r="76" spans="2:7" ht="14.25" customHeight="1">
      <c r="B76" s="7"/>
      <c r="C76" s="72"/>
      <c r="D76" s="7"/>
      <c r="E76" s="7"/>
      <c r="G76" s="5"/>
    </row>
    <row r="77" spans="2:7" ht="14.25" customHeight="1">
      <c r="B77" s="7"/>
      <c r="C77" s="72"/>
      <c r="D77" s="7"/>
      <c r="E77" s="7"/>
      <c r="G77" s="5"/>
    </row>
    <row r="78" spans="2:7" ht="14.25" customHeight="1">
      <c r="B78" s="7"/>
      <c r="C78" s="72"/>
      <c r="D78" s="7"/>
      <c r="E78" s="7"/>
      <c r="G78" s="5"/>
    </row>
    <row r="79" spans="2:7" ht="14.25" customHeight="1">
      <c r="B79" s="7"/>
      <c r="C79" s="72"/>
      <c r="D79" s="7"/>
      <c r="E79" s="7"/>
      <c r="G79" s="5"/>
    </row>
    <row r="80" spans="2:7" ht="14.25" customHeight="1">
      <c r="B80" s="7"/>
      <c r="C80" s="72"/>
      <c r="D80" s="7"/>
      <c r="E80" s="7"/>
      <c r="G80" s="5"/>
    </row>
    <row r="81" spans="2:7" ht="14.25" customHeight="1">
      <c r="B81" s="7"/>
      <c r="C81" s="72"/>
      <c r="D81" s="7"/>
      <c r="E81" s="7"/>
      <c r="G81" s="5"/>
    </row>
    <row r="82" spans="2:7" ht="14.25" customHeight="1">
      <c r="B82" s="7"/>
      <c r="C82" s="72"/>
      <c r="D82" s="7"/>
      <c r="E82" s="7"/>
      <c r="G82" s="5"/>
    </row>
  </sheetData>
  <sheetProtection sheet="1" objects="1" scenarios="1"/>
  <protectedRanges>
    <protectedRange sqref="L7:T14 I13:K14" name="Диапазон1"/>
    <protectedRange sqref="I7:K12 C5:E16" name="Диапазон2"/>
    <protectedRange sqref="C19:C22" name="Диапазон3"/>
  </protectedRanges>
  <mergeCells count="3">
    <mergeCell ref="H5:T5"/>
    <mergeCell ref="H17:T17"/>
    <mergeCell ref="D4:E4"/>
  </mergeCells>
  <conditionalFormatting sqref="U19 I19:T26">
    <cfRule type="cellIs" priority="1" dxfId="0" operator="lessThan" stopIfTrue="1">
      <formula>$C$45</formula>
    </cfRule>
    <cfRule type="cellIs" priority="2" dxfId="2" operator="between" stopIfTrue="1">
      <formula>$D$45</formula>
      <formula>1000000000</formula>
    </cfRule>
  </conditionalFormatting>
  <conditionalFormatting sqref="I28">
    <cfRule type="cellIs" priority="3" dxfId="0" operator="lessThan" stopIfTrue="1">
      <formula>5-$C$45</formula>
    </cfRule>
  </conditionalFormatting>
  <printOptions/>
  <pageMargins left="0.2" right="0.2" top="1" bottom="1" header="0.5" footer="0.5"/>
  <pageSetup horizontalDpi="600" verticalDpi="600" orientation="landscape" paperSize="9" r:id="rId3"/>
  <drawing r:id="rId2"/>
  <legacyDrawing r:id="rId1"/>
</worksheet>
</file>

<file path=xl/worksheets/sheet3.xml><?xml version="1.0" encoding="utf-8"?>
<worksheet xmlns="http://schemas.openxmlformats.org/spreadsheetml/2006/main" xmlns:r="http://schemas.openxmlformats.org/officeDocument/2006/relationships">
  <sheetPr codeName="Лист2"/>
  <dimension ref="A1:AL136"/>
  <sheetViews>
    <sheetView zoomScalePageLayoutView="0" workbookViewId="0" topLeftCell="M88">
      <selection activeCell="R121" sqref="R121"/>
    </sheetView>
  </sheetViews>
  <sheetFormatPr defaultColWidth="9.00390625" defaultRowHeight="12.75"/>
  <cols>
    <col min="1" max="1" width="11.625" style="0" bestFit="1" customWidth="1"/>
    <col min="3" max="3" width="15.00390625" style="0" customWidth="1"/>
    <col min="4" max="4" width="28.375" style="0" customWidth="1"/>
    <col min="5" max="5" width="10.875" style="0" customWidth="1"/>
    <col min="6" max="6" width="2.125" style="0" customWidth="1"/>
    <col min="7" max="7" width="12.375" style="0" customWidth="1"/>
    <col min="8" max="8" width="12.375" style="0" bestFit="1" customWidth="1"/>
    <col min="22" max="22" width="12.375" style="0" bestFit="1" customWidth="1"/>
  </cols>
  <sheetData>
    <row r="1" ht="14.25" customHeight="1" thickBot="1">
      <c r="A1">
        <v>2</v>
      </c>
    </row>
    <row r="2" spans="3:35" ht="14.25" customHeight="1">
      <c r="C2" t="s">
        <v>66</v>
      </c>
      <c r="D2">
        <f>I48</f>
        <v>5</v>
      </c>
      <c r="M2" s="45"/>
      <c r="N2" s="46"/>
      <c r="O2" s="46"/>
      <c r="P2" s="46"/>
      <c r="Q2" s="46"/>
      <c r="R2" s="46"/>
      <c r="S2" s="46"/>
      <c r="T2" s="46"/>
      <c r="U2" s="46"/>
      <c r="V2" s="46"/>
      <c r="W2" s="46"/>
      <c r="X2" s="47"/>
      <c r="Y2" s="55"/>
      <c r="Z2" s="56"/>
      <c r="AA2" s="56"/>
      <c r="AB2" s="56"/>
      <c r="AC2" s="56"/>
      <c r="AD2" s="56"/>
      <c r="AE2" s="56"/>
      <c r="AF2" s="57"/>
      <c r="AI2" t="s">
        <v>63</v>
      </c>
    </row>
    <row r="3" spans="3:32" ht="14.25" customHeight="1">
      <c r="C3" t="str">
        <f>IF(D$2=1,N5,IF(D$2=2,R5,IF(D$2=3,V5,IF(D$2=4,Z5,AD5))))</f>
        <v>R² = 0.9985</v>
      </c>
      <c r="M3" s="48"/>
      <c r="N3" s="49"/>
      <c r="O3" s="49"/>
      <c r="P3" s="49"/>
      <c r="Q3" s="49"/>
      <c r="R3" s="49"/>
      <c r="S3" s="49"/>
      <c r="T3" s="49"/>
      <c r="U3" s="49"/>
      <c r="V3" s="49"/>
      <c r="W3" s="49"/>
      <c r="X3" s="50"/>
      <c r="Y3" s="58"/>
      <c r="Z3" s="59"/>
      <c r="AA3" s="59"/>
      <c r="AB3" s="59"/>
      <c r="AC3" s="59"/>
      <c r="AD3" s="59"/>
      <c r="AE3" s="59"/>
      <c r="AF3" s="60"/>
    </row>
    <row r="4" spans="3:38" ht="14.25" customHeight="1">
      <c r="C4" t="str">
        <f>IF(D$2=1,N6,IF(D$2=2,R6,IF(D$2=3,V6,IF(D$2=4,Z6,AD6))))</f>
        <v>y = -9E-06x3 + 0.0006x2 + 0.0569x</v>
      </c>
      <c r="M4" s="48"/>
      <c r="N4" s="49"/>
      <c r="O4" s="49"/>
      <c r="P4" s="49"/>
      <c r="Q4" s="49"/>
      <c r="R4" s="49"/>
      <c r="S4" s="49"/>
      <c r="T4" s="49"/>
      <c r="U4" s="49"/>
      <c r="V4" s="49"/>
      <c r="W4" s="49"/>
      <c r="X4" s="50"/>
      <c r="Y4" s="58"/>
      <c r="Z4" s="59"/>
      <c r="AA4" s="59"/>
      <c r="AB4" s="59"/>
      <c r="AC4" s="59"/>
      <c r="AD4" s="59"/>
      <c r="AE4" s="59"/>
      <c r="AF4" s="60"/>
      <c r="AI4" t="s">
        <v>7</v>
      </c>
      <c r="AJ4">
        <v>55</v>
      </c>
      <c r="AK4">
        <v>180</v>
      </c>
      <c r="AL4" t="s">
        <v>16</v>
      </c>
    </row>
    <row r="5" spans="3:37" ht="14.25" customHeight="1">
      <c r="C5" t="str">
        <f>MID(C4,4,LEN(C4)-3)</f>
        <v> -9E-06x3 + 0.0006x2 + 0.0569x</v>
      </c>
      <c r="M5" s="48"/>
      <c r="N5" s="49" t="s">
        <v>176</v>
      </c>
      <c r="O5" s="49"/>
      <c r="P5" s="49"/>
      <c r="Q5" s="49"/>
      <c r="R5" s="49" t="s">
        <v>178</v>
      </c>
      <c r="S5" s="49"/>
      <c r="T5" s="49"/>
      <c r="U5" s="49"/>
      <c r="V5" s="49" t="s">
        <v>156</v>
      </c>
      <c r="W5" s="49"/>
      <c r="X5" s="50"/>
      <c r="Y5" s="58"/>
      <c r="Z5" s="59" t="s">
        <v>181</v>
      </c>
      <c r="AA5" s="59"/>
      <c r="AB5" s="59"/>
      <c r="AC5" s="59"/>
      <c r="AD5" s="59" t="s">
        <v>183</v>
      </c>
      <c r="AE5" s="59"/>
      <c r="AF5" s="60"/>
      <c r="AI5" t="s">
        <v>4</v>
      </c>
      <c r="AJ5">
        <v>40</v>
      </c>
      <c r="AK5">
        <v>120</v>
      </c>
    </row>
    <row r="6" spans="13:37" ht="14.25" customHeight="1">
      <c r="M6" s="48"/>
      <c r="N6" s="49" t="s">
        <v>177</v>
      </c>
      <c r="O6" s="49"/>
      <c r="P6" s="49"/>
      <c r="Q6" s="49"/>
      <c r="R6" s="49" t="s">
        <v>179</v>
      </c>
      <c r="S6" s="49"/>
      <c r="T6" s="49"/>
      <c r="U6" s="49"/>
      <c r="V6" s="49" t="s">
        <v>180</v>
      </c>
      <c r="W6" s="49"/>
      <c r="X6" s="50"/>
      <c r="Y6" s="58"/>
      <c r="Z6" s="59" t="s">
        <v>182</v>
      </c>
      <c r="AA6" s="59"/>
      <c r="AB6" s="59"/>
      <c r="AC6" s="59"/>
      <c r="AD6" s="59" t="s">
        <v>184</v>
      </c>
      <c r="AE6" s="59"/>
      <c r="AF6" s="60"/>
      <c r="AI6" t="s">
        <v>5</v>
      </c>
      <c r="AJ6">
        <v>30</v>
      </c>
      <c r="AK6">
        <v>150</v>
      </c>
    </row>
    <row r="7" spans="3:37" ht="14.25" customHeight="1">
      <c r="C7" s="26"/>
      <c r="D7" s="26" t="s">
        <v>19</v>
      </c>
      <c r="E7" s="26" t="s">
        <v>20</v>
      </c>
      <c r="F7" s="26" t="s">
        <v>21</v>
      </c>
      <c r="G7" s="26" t="s">
        <v>22</v>
      </c>
      <c r="I7">
        <v>5</v>
      </c>
      <c r="M7" s="48"/>
      <c r="N7" s="49"/>
      <c r="O7" s="49"/>
      <c r="P7" s="49"/>
      <c r="Q7" s="49"/>
      <c r="R7" s="49"/>
      <c r="S7" s="49"/>
      <c r="T7" s="49"/>
      <c r="U7" s="49"/>
      <c r="V7" s="49"/>
      <c r="W7" s="49"/>
      <c r="X7" s="50"/>
      <c r="Y7" s="58"/>
      <c r="Z7" s="59"/>
      <c r="AA7" s="59"/>
      <c r="AB7" s="59"/>
      <c r="AC7" s="59"/>
      <c r="AD7" s="59"/>
      <c r="AE7" s="59"/>
      <c r="AF7" s="60"/>
      <c r="AI7" t="s">
        <v>6</v>
      </c>
      <c r="AJ7">
        <v>20</v>
      </c>
      <c r="AK7">
        <v>80</v>
      </c>
    </row>
    <row r="8" spans="3:32" ht="14.25" customHeight="1">
      <c r="C8" t="s">
        <v>23</v>
      </c>
      <c r="D8" t="e">
        <f>SEARCH("X5",$C$5,1)</f>
        <v>#VALUE!</v>
      </c>
      <c r="E8">
        <v>1</v>
      </c>
      <c r="F8" t="b">
        <f aca="true" t="shared" si="0" ref="F8:F13">IF(ISNUMBER(D8),D8)</f>
        <v>0</v>
      </c>
      <c r="G8">
        <f>IF(ISNUMBER(D8),MID($C$5,E8,F8-E8),0)</f>
        <v>0</v>
      </c>
      <c r="I8">
        <v>5</v>
      </c>
      <c r="M8" s="48"/>
      <c r="N8" s="49"/>
      <c r="O8" s="49"/>
      <c r="P8" s="49"/>
      <c r="Q8" s="49"/>
      <c r="R8" s="49"/>
      <c r="S8" s="49"/>
      <c r="T8" s="49"/>
      <c r="U8" s="49"/>
      <c r="V8" s="49"/>
      <c r="W8" s="49"/>
      <c r="X8" s="50"/>
      <c r="Y8" s="58"/>
      <c r="Z8" s="59"/>
      <c r="AA8" s="59"/>
      <c r="AB8" s="59"/>
      <c r="AC8" s="59"/>
      <c r="AD8" s="59"/>
      <c r="AE8" s="59"/>
      <c r="AF8" s="60"/>
    </row>
    <row r="9" spans="3:37" ht="14.25" customHeight="1">
      <c r="C9" t="s">
        <v>24</v>
      </c>
      <c r="D9" t="e">
        <f>SEARCH("X4",$C$5,1)</f>
        <v>#VALUE!</v>
      </c>
      <c r="E9">
        <f>IF(ISNUMBER(D8),D8+3,1)</f>
        <v>1</v>
      </c>
      <c r="F9" t="b">
        <f t="shared" si="0"/>
        <v>0</v>
      </c>
      <c r="G9">
        <f>IF(ISNUMBER(D9),MID($C$5,E9,F9-E9),0)</f>
        <v>0</v>
      </c>
      <c r="I9">
        <v>4</v>
      </c>
      <c r="M9" s="48"/>
      <c r="N9" s="49"/>
      <c r="O9" s="49"/>
      <c r="P9" s="49"/>
      <c r="Q9" s="49"/>
      <c r="R9" s="49"/>
      <c r="S9" s="49"/>
      <c r="T9" s="49"/>
      <c r="U9" s="49"/>
      <c r="V9" s="49"/>
      <c r="W9" s="49"/>
      <c r="X9" s="50"/>
      <c r="Y9" s="58"/>
      <c r="Z9" s="59"/>
      <c r="AA9" s="59"/>
      <c r="AB9" s="59"/>
      <c r="AC9" s="59"/>
      <c r="AD9" s="59"/>
      <c r="AE9" s="59"/>
      <c r="AF9" s="60"/>
      <c r="AI9">
        <v>1</v>
      </c>
      <c r="AJ9">
        <v>30</v>
      </c>
      <c r="AK9">
        <v>150</v>
      </c>
    </row>
    <row r="10" spans="3:32" ht="14.25" customHeight="1">
      <c r="C10" t="s">
        <v>25</v>
      </c>
      <c r="D10">
        <f>SEARCH("X3",$C$5,1)</f>
        <v>8</v>
      </c>
      <c r="E10">
        <f>IF(ISNUMBER(D9),D9+3,1)</f>
        <v>1</v>
      </c>
      <c r="F10">
        <f t="shared" si="0"/>
        <v>8</v>
      </c>
      <c r="G10" t="str">
        <f>IF(ISNUMBER(D10),MID($C$5,E10,F10-E10),0)</f>
        <v> -9E-06</v>
      </c>
      <c r="I10">
        <v>3</v>
      </c>
      <c r="M10" s="48"/>
      <c r="N10" s="49"/>
      <c r="O10" s="49"/>
      <c r="P10" s="49"/>
      <c r="Q10" s="49"/>
      <c r="R10" s="49"/>
      <c r="S10" s="49"/>
      <c r="T10" s="49"/>
      <c r="U10" s="49"/>
      <c r="V10" s="49"/>
      <c r="W10" s="49"/>
      <c r="X10" s="50"/>
      <c r="Y10" s="58"/>
      <c r="Z10" s="59"/>
      <c r="AA10" s="59"/>
      <c r="AB10" s="59"/>
      <c r="AC10" s="59"/>
      <c r="AD10" s="59"/>
      <c r="AE10" s="59"/>
      <c r="AF10" s="60"/>
    </row>
    <row r="11" spans="3:32" ht="14.25" customHeight="1">
      <c r="C11" t="s">
        <v>18</v>
      </c>
      <c r="D11">
        <f>SEARCH("X2",$C$5,1)</f>
        <v>19</v>
      </c>
      <c r="E11">
        <f>IF(ISNUMBER(D10),D10+3,1)</f>
        <v>11</v>
      </c>
      <c r="F11">
        <f t="shared" si="0"/>
        <v>19</v>
      </c>
      <c r="G11" t="str">
        <f>IF(ISNUMBER(D11),MID($C$5,E11,F11-E11),0)</f>
        <v>+ 0.0006</v>
      </c>
      <c r="I11">
        <v>2</v>
      </c>
      <c r="M11" s="48"/>
      <c r="N11" s="49"/>
      <c r="O11" s="49"/>
      <c r="P11" s="49"/>
      <c r="Q11" s="49"/>
      <c r="R11" s="49"/>
      <c r="S11" s="49"/>
      <c r="T11" s="49"/>
      <c r="U11" s="49"/>
      <c r="V11" s="49"/>
      <c r="W11" s="49"/>
      <c r="X11" s="50"/>
      <c r="Y11" s="58"/>
      <c r="Z11" s="59"/>
      <c r="AA11" s="59"/>
      <c r="AB11" s="59"/>
      <c r="AC11" s="59"/>
      <c r="AD11" s="59"/>
      <c r="AE11" s="59"/>
      <c r="AF11" s="60"/>
    </row>
    <row r="12" spans="3:35" ht="14.25" customHeight="1">
      <c r="C12" t="s">
        <v>1</v>
      </c>
      <c r="D12">
        <f>SEARCH("X",$C$5,IF(ISNUMBER(D11),D11+2,1))</f>
        <v>30</v>
      </c>
      <c r="E12">
        <f>IF(ISNUMBER(D11),D11+3,1)</f>
        <v>22</v>
      </c>
      <c r="F12">
        <f t="shared" si="0"/>
        <v>30</v>
      </c>
      <c r="G12" t="str">
        <f>IF(ISNUMBER(D12),MID($C$5,E12,F12-E12),0)</f>
        <v>+ 0.0569</v>
      </c>
      <c r="I12">
        <v>1</v>
      </c>
      <c r="M12" s="48"/>
      <c r="N12" s="49"/>
      <c r="O12" s="49"/>
      <c r="P12" s="49"/>
      <c r="Q12" s="49"/>
      <c r="R12" s="51"/>
      <c r="S12" s="51"/>
      <c r="T12" s="51"/>
      <c r="U12" s="51"/>
      <c r="V12" s="49"/>
      <c r="W12" s="49"/>
      <c r="X12" s="50"/>
      <c r="Y12" s="58"/>
      <c r="Z12" s="59"/>
      <c r="AA12" s="59"/>
      <c r="AB12" s="59"/>
      <c r="AC12" s="59"/>
      <c r="AD12" s="59"/>
      <c r="AE12" s="59"/>
      <c r="AF12" s="60"/>
      <c r="AI12" t="s">
        <v>64</v>
      </c>
    </row>
    <row r="13" spans="3:35" ht="14.25" customHeight="1">
      <c r="C13" t="s">
        <v>2</v>
      </c>
      <c r="D13">
        <f>LEN(C5)</f>
        <v>30</v>
      </c>
      <c r="E13">
        <f>IF(ISNUMBER(D12),D12+3,1)</f>
        <v>33</v>
      </c>
      <c r="F13">
        <f t="shared" si="0"/>
        <v>30</v>
      </c>
      <c r="G13">
        <f>IF(D13&gt;E13,IF(ISNUMBER(D13),MID($C$5,E13-1,F13-E13+2),0),0)</f>
        <v>0</v>
      </c>
      <c r="I13">
        <v>0</v>
      </c>
      <c r="M13" s="48"/>
      <c r="N13" s="49"/>
      <c r="O13" s="49"/>
      <c r="P13" s="49"/>
      <c r="Q13" s="49"/>
      <c r="R13" s="51"/>
      <c r="S13" s="51"/>
      <c r="T13" s="51"/>
      <c r="U13" s="51"/>
      <c r="V13" s="49"/>
      <c r="W13" s="49"/>
      <c r="X13" s="50"/>
      <c r="Y13" s="58"/>
      <c r="Z13" s="59"/>
      <c r="AA13" s="59"/>
      <c r="AB13" s="59"/>
      <c r="AC13" s="59"/>
      <c r="AD13" s="59"/>
      <c r="AE13" s="59"/>
      <c r="AF13" s="60"/>
      <c r="AI13" t="s">
        <v>65</v>
      </c>
    </row>
    <row r="14" spans="5:32" ht="14.25" customHeight="1">
      <c r="E14" s="2"/>
      <c r="M14" s="48"/>
      <c r="N14" s="49"/>
      <c r="O14" s="49"/>
      <c r="P14" s="49"/>
      <c r="Q14" s="49"/>
      <c r="R14" s="51"/>
      <c r="S14" s="51"/>
      <c r="T14" s="51"/>
      <c r="U14" s="51"/>
      <c r="V14" s="49"/>
      <c r="W14" s="49"/>
      <c r="X14" s="50"/>
      <c r="Y14" s="58"/>
      <c r="Z14" s="59"/>
      <c r="AA14" s="59"/>
      <c r="AB14" s="59"/>
      <c r="AC14" s="59"/>
      <c r="AD14" s="59"/>
      <c r="AE14" s="59"/>
      <c r="AF14" s="60"/>
    </row>
    <row r="15" spans="13:32" ht="14.25" customHeight="1">
      <c r="M15" s="48"/>
      <c r="N15" s="49"/>
      <c r="O15" s="49"/>
      <c r="P15" s="49"/>
      <c r="Q15" s="49"/>
      <c r="R15" s="51"/>
      <c r="S15" s="51"/>
      <c r="T15" s="51"/>
      <c r="U15" s="51"/>
      <c r="V15" s="49"/>
      <c r="W15" s="49"/>
      <c r="X15" s="50"/>
      <c r="Y15" s="58"/>
      <c r="Z15" s="59"/>
      <c r="AA15" s="59"/>
      <c r="AB15" s="59"/>
      <c r="AC15" s="59"/>
      <c r="AD15" s="59"/>
      <c r="AE15" s="59"/>
      <c r="AF15" s="60"/>
    </row>
    <row r="16" spans="7:32" ht="14.25" customHeight="1">
      <c r="G16" s="4"/>
      <c r="K16" s="13">
        <v>3.0415</v>
      </c>
      <c r="M16" s="48"/>
      <c r="N16" s="49"/>
      <c r="O16" s="49"/>
      <c r="P16" s="49"/>
      <c r="Q16" s="49"/>
      <c r="R16" s="51"/>
      <c r="S16" s="51"/>
      <c r="T16" s="51"/>
      <c r="U16" s="51"/>
      <c r="V16" s="49"/>
      <c r="W16" s="49"/>
      <c r="X16" s="50"/>
      <c r="Y16" s="58"/>
      <c r="Z16" s="59"/>
      <c r="AA16" s="59"/>
      <c r="AB16" s="59"/>
      <c r="AC16" s="59"/>
      <c r="AD16" s="59"/>
      <c r="AE16" s="59"/>
      <c r="AF16" s="60"/>
    </row>
    <row r="17" spans="3:32" ht="14.25" customHeight="1">
      <c r="C17" s="5">
        <f>ABS(MID(C3,5,LEN(C3)-4))</f>
        <v>0.9985</v>
      </c>
      <c r="D17" s="6"/>
      <c r="E17">
        <v>0</v>
      </c>
      <c r="G17" s="4"/>
      <c r="M17" s="48"/>
      <c r="N17" s="49"/>
      <c r="O17" s="49"/>
      <c r="P17" s="49"/>
      <c r="Q17" s="49"/>
      <c r="R17" s="51"/>
      <c r="S17" s="51"/>
      <c r="T17" s="51"/>
      <c r="U17" s="51"/>
      <c r="V17" s="49"/>
      <c r="W17" s="49"/>
      <c r="X17" s="50"/>
      <c r="Y17" s="58"/>
      <c r="Z17" s="59"/>
      <c r="AA17" s="59"/>
      <c r="AB17" s="59"/>
      <c r="AC17" s="59"/>
      <c r="AD17" s="59"/>
      <c r="AE17" s="59"/>
      <c r="AF17" s="60"/>
    </row>
    <row r="18" spans="7:32" ht="14.25" customHeight="1">
      <c r="G18" s="4"/>
      <c r="M18" s="48"/>
      <c r="N18" s="49"/>
      <c r="O18" s="49"/>
      <c r="P18" s="49"/>
      <c r="Q18" s="49"/>
      <c r="R18" s="51"/>
      <c r="S18" s="51"/>
      <c r="T18" s="51"/>
      <c r="U18" s="51"/>
      <c r="V18" s="49"/>
      <c r="W18" s="49"/>
      <c r="X18" s="50"/>
      <c r="Y18" s="58"/>
      <c r="Z18" s="59"/>
      <c r="AA18" s="59"/>
      <c r="AB18" s="59"/>
      <c r="AC18" s="59"/>
      <c r="AD18" s="59"/>
      <c r="AE18" s="59"/>
      <c r="AF18" s="60"/>
    </row>
    <row r="19" spans="1:32" ht="14.25" customHeight="1">
      <c r="A19" s="43" t="s">
        <v>0</v>
      </c>
      <c r="B19" t="str">
        <f>'Ввод данных и результаты'!C4</f>
        <v>Концентрация анти-ТПО в калибраторах, МЕ/мл</v>
      </c>
      <c r="C19" t="str">
        <f>'Ввод данных и результаты'!D4</f>
        <v>Оптическая плотность калибратора, О.Е.</v>
      </c>
      <c r="D19" t="str">
        <f>Рабочий!A19</f>
        <v>Log</v>
      </c>
      <c r="M19" s="48"/>
      <c r="N19" s="49"/>
      <c r="O19" s="49"/>
      <c r="P19" s="49"/>
      <c r="Q19" s="49"/>
      <c r="R19" s="51"/>
      <c r="S19" s="51"/>
      <c r="T19" s="51"/>
      <c r="U19" s="51"/>
      <c r="V19" s="49"/>
      <c r="W19" s="49"/>
      <c r="X19" s="50"/>
      <c r="Y19" s="58"/>
      <c r="Z19" s="59"/>
      <c r="AA19" s="59"/>
      <c r="AB19" s="59"/>
      <c r="AC19" s="59"/>
      <c r="AD19" s="59"/>
      <c r="AE19" s="59"/>
      <c r="AF19" s="60"/>
    </row>
    <row r="20" spans="1:32" ht="14.25" customHeight="1">
      <c r="A20" s="11">
        <f>IF(AND(ISNUMBER(D20),OR(ISNUMBER('Ввод данных и результаты'!D5),ISNUMBER('Ввод данных и результаты'!E5))),(AVERAGE('Ввод данных и результаты'!D5,'Ввод данных и результаты'!E5)-$J$45*$L$45),80)</f>
        <v>80</v>
      </c>
      <c r="B20" t="e">
        <f>IF(ISNUMBER('Ввод данных и результаты'!C5),'Ввод данных и результаты'!C5,NA())</f>
        <v>#N/A</v>
      </c>
      <c r="C20" s="44" t="e">
        <f>IF(AND(ISNUMBER(D20),OR(ISNUMBER('Ввод данных и результаты'!D5),ISNUMBER('Ввод данных и результаты'!E5))),IF($J$46="+",LN(AVERAGE('Ввод данных и результаты'!D5,'Ввод данных и результаты'!E5)-$J$45*$L$45),AVERAGE('Ввод данных и результаты'!D5,'Ввод данных и результаты'!E5)-$J$45*$L$45),NA())</f>
        <v>#N/A</v>
      </c>
      <c r="D20" s="2" t="e">
        <f>IF(ISNUMBER('Ввод данных и результаты'!C5),IF($J$81="+",LN('Ввод данных и результаты'!C5),'Ввод данных и результаты'!C5),NA())</f>
        <v>#N/A</v>
      </c>
      <c r="E20" s="11">
        <f>IF(AND(ISNUMBER(D20),OR(ISNUMBER('Ввод данных и результаты'!D5),ISNUMBER('Ввод данных и результаты'!E5))),(AVERAGE('Ввод данных и результаты'!D5,'Ввод данных и результаты'!E5)-$J$45*$L$45),-1)</f>
        <v>-1</v>
      </c>
      <c r="G20" s="3">
        <f>ABS(E20/20)</f>
        <v>0.05</v>
      </c>
      <c r="H20">
        <f>IF(ISNUMBER(G20),1,0)</f>
        <v>1</v>
      </c>
      <c r="I20">
        <f>IF(AND(ISNUMBER(C20),ISNUMBER(B20)),B20,1000000)</f>
        <v>1000000</v>
      </c>
      <c r="J20">
        <f>IF(AND(ISNUMBER(C20),ISNUMBER(B20)),B20,-1000000)</f>
        <v>-1000000</v>
      </c>
      <c r="M20" s="48"/>
      <c r="N20" s="49"/>
      <c r="O20" s="49"/>
      <c r="P20" s="49"/>
      <c r="Q20" s="49"/>
      <c r="R20" s="51"/>
      <c r="S20" s="51"/>
      <c r="T20" s="51"/>
      <c r="U20" s="51"/>
      <c r="V20" s="49"/>
      <c r="W20" s="49"/>
      <c r="X20" s="50"/>
      <c r="Y20" s="58"/>
      <c r="Z20" s="59"/>
      <c r="AA20" s="59"/>
      <c r="AB20" s="59"/>
      <c r="AC20" s="59"/>
      <c r="AD20" s="59"/>
      <c r="AE20" s="59"/>
      <c r="AF20" s="60"/>
    </row>
    <row r="21" spans="1:32" ht="14.25" customHeight="1">
      <c r="A21" s="11">
        <f>IF(AND(ISNUMBER(D21),OR(ISNUMBER('Ввод данных и результаты'!D6),ISNUMBER('Ввод данных и результаты'!E6))),(AVERAGE('Ввод данных и результаты'!D6,'Ввод данных и результаты'!E6)-$J$45*$L$45),80)</f>
        <v>80</v>
      </c>
      <c r="B21" t="e">
        <f>IF(ISNUMBER('Ввод данных и результаты'!C6),'Ввод данных и результаты'!C6,NA())</f>
        <v>#N/A</v>
      </c>
      <c r="C21" s="44" t="e">
        <f>IF(AND(ISNUMBER(D21),OR(ISNUMBER('Ввод данных и результаты'!D6),ISNUMBER('Ввод данных и результаты'!E6))),IF($J$46="+",LN(AVERAGE('Ввод данных и результаты'!D6,'Ввод данных и результаты'!E6)-$J$45*$L$45),AVERAGE('Ввод данных и результаты'!D6,'Ввод данных и результаты'!E6)-$J$45*$L$45),NA())</f>
        <v>#N/A</v>
      </c>
      <c r="D21" s="2" t="e">
        <f>IF(ISNUMBER('Ввод данных и результаты'!C6),IF($J$81="+",LN('Ввод данных и результаты'!C6),'Ввод данных и результаты'!C6),NA())</f>
        <v>#N/A</v>
      </c>
      <c r="E21" s="11">
        <f>IF(AND(ISNUMBER(D21),OR(ISNUMBER('Ввод данных и результаты'!D6),ISNUMBER('Ввод данных и результаты'!E6))),(AVERAGE('Ввод данных и результаты'!D6,'Ввод данных и результаты'!E6)-$J$45*$L$45),-1)</f>
        <v>-1</v>
      </c>
      <c r="G21" t="e">
        <f>ABS(E21-B21)/E21</f>
        <v>#N/A</v>
      </c>
      <c r="H21">
        <f aca="true" t="shared" si="1" ref="H21:H31">IF(ISNUMBER(G21),1,0)</f>
        <v>0</v>
      </c>
      <c r="I21">
        <f aca="true" t="shared" si="2" ref="I21:I30">IF(AND(ISNUMBER(C21),ISNUMBER(B21)),B21,1000000)</f>
        <v>1000000</v>
      </c>
      <c r="J21">
        <f aca="true" t="shared" si="3" ref="J21:J31">IF(AND(ISNUMBER(C21),ISNUMBER(B21)),B21,-1000000)</f>
        <v>-1000000</v>
      </c>
      <c r="M21" s="48"/>
      <c r="N21" s="49"/>
      <c r="O21" s="49"/>
      <c r="P21" s="49"/>
      <c r="Q21" s="49"/>
      <c r="R21" s="51"/>
      <c r="S21" s="51"/>
      <c r="T21" s="51"/>
      <c r="U21" s="51"/>
      <c r="V21" s="49"/>
      <c r="W21" s="49"/>
      <c r="X21" s="50"/>
      <c r="Y21" s="58"/>
      <c r="Z21" s="59"/>
      <c r="AA21" s="59"/>
      <c r="AB21" s="59"/>
      <c r="AC21" s="59"/>
      <c r="AD21" s="59"/>
      <c r="AE21" s="59"/>
      <c r="AF21" s="60"/>
    </row>
    <row r="22" spans="1:32" ht="14.25" customHeight="1">
      <c r="A22" s="11">
        <f>IF(AND(ISNUMBER(D22),OR(ISNUMBER('Ввод данных и результаты'!D7),ISNUMBER('Ввод данных и результаты'!E7))),(AVERAGE('Ввод данных и результаты'!D7,'Ввод данных и результаты'!E7)-$J$45*$L$45),80)</f>
        <v>80</v>
      </c>
      <c r="B22" t="e">
        <f>IF(ISNUMBER('Ввод данных и результаты'!C7),'Ввод данных и результаты'!C7,NA())</f>
        <v>#N/A</v>
      </c>
      <c r="C22" s="44" t="e">
        <f>IF(AND(ISNUMBER(D22),OR(ISNUMBER('Ввод данных и результаты'!D7),ISNUMBER('Ввод данных и результаты'!E7))),IF($J$46="+",LN(AVERAGE('Ввод данных и результаты'!D7,'Ввод данных и результаты'!E7)-$J$45*$L$45),AVERAGE('Ввод данных и результаты'!D7,'Ввод данных и результаты'!E7)-$J$45*$L$45),NA())</f>
        <v>#N/A</v>
      </c>
      <c r="D22" s="2" t="e">
        <f>IF(ISNUMBER('Ввод данных и результаты'!C7),IF($J$81="+",LN('Ввод данных и результаты'!C7),'Ввод данных и результаты'!C7),NA())</f>
        <v>#N/A</v>
      </c>
      <c r="E22" s="11">
        <f>IF(AND(ISNUMBER(D22),OR(ISNUMBER('Ввод данных и результаты'!D7),ISNUMBER('Ввод данных и результаты'!E7))),(AVERAGE('Ввод данных и результаты'!D7,'Ввод данных и результаты'!E7)-$J$45*$L$45),-1)</f>
        <v>-1</v>
      </c>
      <c r="G22" t="e">
        <f>ABS(E22-B22)/E22</f>
        <v>#N/A</v>
      </c>
      <c r="H22">
        <f t="shared" si="1"/>
        <v>0</v>
      </c>
      <c r="I22">
        <f t="shared" si="2"/>
        <v>1000000</v>
      </c>
      <c r="J22">
        <f t="shared" si="3"/>
        <v>-1000000</v>
      </c>
      <c r="M22" s="48"/>
      <c r="N22" s="49"/>
      <c r="O22" s="49"/>
      <c r="P22" s="49"/>
      <c r="Q22" s="49"/>
      <c r="R22" s="51"/>
      <c r="S22" s="51"/>
      <c r="T22" s="51"/>
      <c r="U22" s="51"/>
      <c r="V22" s="49"/>
      <c r="W22" s="49"/>
      <c r="X22" s="50"/>
      <c r="Y22" s="58"/>
      <c r="Z22" s="59"/>
      <c r="AA22" s="59"/>
      <c r="AB22" s="59"/>
      <c r="AC22" s="59"/>
      <c r="AD22" s="59"/>
      <c r="AE22" s="59"/>
      <c r="AF22" s="60"/>
    </row>
    <row r="23" spans="1:32" ht="14.25" customHeight="1">
      <c r="A23" s="11">
        <f>IF(AND(ISNUMBER(D23),OR(ISNUMBER('Ввод данных и результаты'!D8),ISNUMBER('Ввод данных и результаты'!E8))),(AVERAGE('Ввод данных и результаты'!D8,'Ввод данных и результаты'!E8)-$J$45*$L$45),80)</f>
        <v>80</v>
      </c>
      <c r="B23" t="e">
        <f>IF(ISNUMBER('Ввод данных и результаты'!C8),'Ввод данных и результаты'!C8,NA())</f>
        <v>#N/A</v>
      </c>
      <c r="C23" s="44" t="e">
        <f>IF(AND(ISNUMBER(D23),OR(ISNUMBER('Ввод данных и результаты'!D8),ISNUMBER('Ввод данных и результаты'!E8))),IF($J$46="+",LN(AVERAGE('Ввод данных и результаты'!D8,'Ввод данных и результаты'!E8)-$J$45*$L$45),AVERAGE('Ввод данных и результаты'!D8,'Ввод данных и результаты'!E8)-$J$45*$L$45),NA())</f>
        <v>#N/A</v>
      </c>
      <c r="D23" s="2" t="e">
        <f>IF(ISNUMBER('Ввод данных и результаты'!C8),IF($J$81="+",LN('Ввод данных и результаты'!C8),'Ввод данных и результаты'!C8),NA())</f>
        <v>#N/A</v>
      </c>
      <c r="E23" s="11">
        <f>IF(AND(ISNUMBER(D23),OR(ISNUMBER('Ввод данных и результаты'!D8),ISNUMBER('Ввод данных и результаты'!E8))),(AVERAGE('Ввод данных и результаты'!D8,'Ввод данных и результаты'!E8)-$J$45*$L$45),-1)</f>
        <v>-1</v>
      </c>
      <c r="G23" t="e">
        <f>ABS(E23-B23)/E23</f>
        <v>#N/A</v>
      </c>
      <c r="H23">
        <f t="shared" si="1"/>
        <v>0</v>
      </c>
      <c r="I23">
        <f t="shared" si="2"/>
        <v>1000000</v>
      </c>
      <c r="J23">
        <f t="shared" si="3"/>
        <v>-1000000</v>
      </c>
      <c r="M23" s="48"/>
      <c r="N23" s="49"/>
      <c r="O23" s="49"/>
      <c r="P23" s="49"/>
      <c r="Q23" s="49"/>
      <c r="R23" s="51"/>
      <c r="S23" s="51"/>
      <c r="T23" s="51"/>
      <c r="U23" s="51"/>
      <c r="V23" s="49"/>
      <c r="W23" s="49"/>
      <c r="X23" s="50"/>
      <c r="Y23" s="58"/>
      <c r="Z23" s="59"/>
      <c r="AA23" s="59"/>
      <c r="AB23" s="59"/>
      <c r="AC23" s="59"/>
      <c r="AD23" s="59"/>
      <c r="AE23" s="59"/>
      <c r="AF23" s="60"/>
    </row>
    <row r="24" spans="1:32" ht="14.25" customHeight="1">
      <c r="A24" s="11">
        <f>IF(AND(ISNUMBER(D24),OR(ISNUMBER('Ввод данных и результаты'!D9),ISNUMBER('Ввод данных и результаты'!E9))),(AVERAGE('Ввод данных и результаты'!D9,'Ввод данных и результаты'!E9)-$J$45*$L$45),80)</f>
        <v>80</v>
      </c>
      <c r="B24" t="e">
        <f>IF(ISNUMBER('Ввод данных и результаты'!C9),'Ввод данных и результаты'!C9,NA())</f>
        <v>#N/A</v>
      </c>
      <c r="C24" s="44" t="e">
        <f>IF(AND(ISNUMBER(D24),OR(ISNUMBER('Ввод данных и результаты'!D9),ISNUMBER('Ввод данных и результаты'!E9))),IF($J$46="+",LN(AVERAGE('Ввод данных и результаты'!D9,'Ввод данных и результаты'!E9)-$J$45*$L$45),AVERAGE('Ввод данных и результаты'!D9,'Ввод данных и результаты'!E9)-$J$45*$L$45),NA())</f>
        <v>#N/A</v>
      </c>
      <c r="D24" s="2" t="e">
        <f>IF(ISNUMBER('Ввод данных и результаты'!C9),IF($J$81="+",LN('Ввод данных и результаты'!C9),'Ввод данных и результаты'!C9),NA())</f>
        <v>#N/A</v>
      </c>
      <c r="E24" s="11">
        <f>IF(AND(ISNUMBER(D24),OR(ISNUMBER('Ввод данных и результаты'!D9),ISNUMBER('Ввод данных и результаты'!E9))),(AVERAGE('Ввод данных и результаты'!D9,'Ввод данных и результаты'!E9)-$J$45*$L$45),-1)</f>
        <v>-1</v>
      </c>
      <c r="G24" t="e">
        <f>ABS(E24-B24)/E24</f>
        <v>#N/A</v>
      </c>
      <c r="H24">
        <f t="shared" si="1"/>
        <v>0</v>
      </c>
      <c r="I24">
        <f t="shared" si="2"/>
        <v>1000000</v>
      </c>
      <c r="J24">
        <f t="shared" si="3"/>
        <v>-1000000</v>
      </c>
      <c r="M24" s="48"/>
      <c r="N24" s="49"/>
      <c r="O24" s="49"/>
      <c r="P24" s="49"/>
      <c r="Q24" s="49"/>
      <c r="R24" s="51"/>
      <c r="S24" s="51"/>
      <c r="T24" s="51"/>
      <c r="U24" s="51"/>
      <c r="V24" s="49"/>
      <c r="W24" s="49"/>
      <c r="X24" s="50"/>
      <c r="Y24" s="58"/>
      <c r="Z24" s="59"/>
      <c r="AA24" s="59"/>
      <c r="AB24" s="59"/>
      <c r="AC24" s="59"/>
      <c r="AD24" s="59"/>
      <c r="AE24" s="59"/>
      <c r="AF24" s="60"/>
    </row>
    <row r="25" spans="1:32" ht="14.25" customHeight="1">
      <c r="A25" s="11">
        <f>IF(AND(ISNUMBER(D25),OR(ISNUMBER('Ввод данных и результаты'!D10),ISNUMBER('Ввод данных и результаты'!E10))),(AVERAGE('Ввод данных и результаты'!D10,'Ввод данных и результаты'!E10)-$J$45*$L$45),80)</f>
        <v>80</v>
      </c>
      <c r="B25" t="e">
        <f>IF(ISNUMBER('Ввод данных и результаты'!C10),'Ввод данных и результаты'!C10,NA())</f>
        <v>#N/A</v>
      </c>
      <c r="C25" s="44" t="e">
        <f>IF(AND(ISNUMBER(D25),OR(ISNUMBER('Ввод данных и результаты'!D10),ISNUMBER('Ввод данных и результаты'!E10))),IF($J$46="+",LN(AVERAGE('Ввод данных и результаты'!D10,'Ввод данных и результаты'!E10)-$J$45*$L$45),AVERAGE('Ввод данных и результаты'!D10,'Ввод данных и результаты'!E10)-$J$45*$L$45),NA())</f>
        <v>#N/A</v>
      </c>
      <c r="D25" s="2" t="e">
        <f>IF(ISNUMBER('Ввод данных и результаты'!C10),IF($J$81="+",LN('Ввод данных и результаты'!C10),'Ввод данных и результаты'!C10),NA())</f>
        <v>#N/A</v>
      </c>
      <c r="E25" s="11">
        <f>IF(AND(ISNUMBER(D25),OR(ISNUMBER('Ввод данных и результаты'!D10),ISNUMBER('Ввод данных и результаты'!E10))),(AVERAGE('Ввод данных и результаты'!D10,'Ввод данных и результаты'!E10)-$J$45*$L$45),-1)</f>
        <v>-1</v>
      </c>
      <c r="G25" t="e">
        <f>ABS(E25-B25)/E25</f>
        <v>#N/A</v>
      </c>
      <c r="H25">
        <f t="shared" si="1"/>
        <v>0</v>
      </c>
      <c r="I25">
        <f t="shared" si="2"/>
        <v>1000000</v>
      </c>
      <c r="J25">
        <f t="shared" si="3"/>
        <v>-1000000</v>
      </c>
      <c r="M25" s="48"/>
      <c r="N25" s="49"/>
      <c r="O25" s="49"/>
      <c r="P25" s="49"/>
      <c r="Q25" s="49"/>
      <c r="R25" s="49"/>
      <c r="S25" s="49"/>
      <c r="T25" s="49"/>
      <c r="U25" s="49"/>
      <c r="V25" s="49"/>
      <c r="W25" s="49"/>
      <c r="X25" s="50"/>
      <c r="Y25" s="58"/>
      <c r="Z25" s="59"/>
      <c r="AA25" s="59"/>
      <c r="AB25" s="59"/>
      <c r="AC25" s="59"/>
      <c r="AD25" s="59"/>
      <c r="AE25" s="59"/>
      <c r="AF25" s="60"/>
    </row>
    <row r="26" spans="1:32" ht="14.25" customHeight="1">
      <c r="A26" s="11">
        <f>IF(AND(ISNUMBER(D26),OR(ISNUMBER('Ввод данных и результаты'!D11),ISNUMBER('Ввод данных и результаты'!E11))),(AVERAGE('Ввод данных и результаты'!D11,'Ввод данных и результаты'!E11)-$J$45*$L$45),80)</f>
        <v>80</v>
      </c>
      <c r="B26" t="e">
        <f>IF(ISNUMBER('Ввод данных и результаты'!C11),'Ввод данных и результаты'!C11,NA())</f>
        <v>#N/A</v>
      </c>
      <c r="C26" s="44" t="e">
        <f>IF(AND(ISNUMBER(D26),OR(ISNUMBER('Ввод данных и результаты'!D11),ISNUMBER('Ввод данных и результаты'!E11))),IF($J$46="+",LN(AVERAGE('Ввод данных и результаты'!D11,'Ввод данных и результаты'!E11)-$J$45*$L$45),AVERAGE('Ввод данных и результаты'!D11,'Ввод данных и результаты'!E11)-$J$45*$L$45),NA())</f>
        <v>#N/A</v>
      </c>
      <c r="D26" s="2" t="e">
        <f>IF(ISNUMBER('Ввод данных и результаты'!C11),IF($J$81="+",LN('Ввод данных и результаты'!C11),'Ввод данных и результаты'!C11),NA())</f>
        <v>#N/A</v>
      </c>
      <c r="E26" s="11">
        <f>IF(AND(ISNUMBER(D26),OR(ISNUMBER('Ввод данных и результаты'!D11),ISNUMBER('Ввод данных и результаты'!E11))),(AVERAGE('Ввод данных и результаты'!D11,'Ввод данных и результаты'!E11)-$J$45*$L$45),-1)</f>
        <v>-1</v>
      </c>
      <c r="G26" t="e">
        <f aca="true" t="shared" si="4" ref="G26:G31">(E26-B26)/E26</f>
        <v>#N/A</v>
      </c>
      <c r="H26">
        <f t="shared" si="1"/>
        <v>0</v>
      </c>
      <c r="I26">
        <f t="shared" si="2"/>
        <v>1000000</v>
      </c>
      <c r="J26">
        <f t="shared" si="3"/>
        <v>-1000000</v>
      </c>
      <c r="M26" s="48"/>
      <c r="N26" s="49"/>
      <c r="O26" s="49"/>
      <c r="P26" s="49"/>
      <c r="Q26" s="49"/>
      <c r="R26" s="49"/>
      <c r="S26" s="49"/>
      <c r="T26" s="49"/>
      <c r="U26" s="49"/>
      <c r="V26" s="49"/>
      <c r="W26" s="49"/>
      <c r="X26" s="50"/>
      <c r="Y26" s="58"/>
      <c r="Z26" s="59"/>
      <c r="AA26" s="59"/>
      <c r="AB26" s="59"/>
      <c r="AC26" s="59"/>
      <c r="AD26" s="59"/>
      <c r="AE26" s="59"/>
      <c r="AF26" s="60"/>
    </row>
    <row r="27" spans="1:32" ht="14.25" customHeight="1">
      <c r="A27" s="11">
        <f>IF(AND(ISNUMBER(D27),OR(ISNUMBER('Ввод данных и результаты'!D12),ISNUMBER('Ввод данных и результаты'!E12))),(AVERAGE('Ввод данных и результаты'!D12,'Ввод данных и результаты'!E12)-$J$45*$L$45),80)</f>
        <v>80</v>
      </c>
      <c r="B27" t="e">
        <f>IF(ISNUMBER('Ввод данных и результаты'!C12),'Ввод данных и результаты'!C12,NA())</f>
        <v>#N/A</v>
      </c>
      <c r="C27" s="44" t="e">
        <f>IF(AND(ISNUMBER(D27),OR(ISNUMBER('Ввод данных и результаты'!D12),ISNUMBER('Ввод данных и результаты'!E12))),IF($J$46="+",LN(AVERAGE('Ввод данных и результаты'!D12,'Ввод данных и результаты'!E12)-$J$45*$L$45),AVERAGE('Ввод данных и результаты'!D12,'Ввод данных и результаты'!E12)-$J$45*$L$45),NA())</f>
        <v>#N/A</v>
      </c>
      <c r="D27" s="2" t="e">
        <f>IF(ISNUMBER('Ввод данных и результаты'!C12),IF($J$81="+",LN('Ввод данных и результаты'!C12),'Ввод данных и результаты'!C12),NA())</f>
        <v>#N/A</v>
      </c>
      <c r="E27" s="11">
        <f>IF(AND(ISNUMBER(D27),OR(ISNUMBER('Ввод данных и результаты'!D12),ISNUMBER('Ввод данных и результаты'!E12))),(AVERAGE('Ввод данных и результаты'!D12,'Ввод данных и результаты'!E12)-$J$45*$L$45),-1)</f>
        <v>-1</v>
      </c>
      <c r="G27" t="e">
        <f t="shared" si="4"/>
        <v>#N/A</v>
      </c>
      <c r="H27">
        <f t="shared" si="1"/>
        <v>0</v>
      </c>
      <c r="I27">
        <f t="shared" si="2"/>
        <v>1000000</v>
      </c>
      <c r="J27">
        <f t="shared" si="3"/>
        <v>-1000000</v>
      </c>
      <c r="M27" s="48"/>
      <c r="N27" s="49"/>
      <c r="O27" s="49"/>
      <c r="P27" s="49"/>
      <c r="Q27" s="49"/>
      <c r="R27" s="49"/>
      <c r="S27" s="49"/>
      <c r="T27" s="49"/>
      <c r="U27" s="49"/>
      <c r="V27" s="49"/>
      <c r="W27" s="49"/>
      <c r="X27" s="50"/>
      <c r="Y27" s="58"/>
      <c r="Z27" s="59"/>
      <c r="AA27" s="59"/>
      <c r="AB27" s="59"/>
      <c r="AC27" s="59"/>
      <c r="AD27" s="59"/>
      <c r="AE27" s="59"/>
      <c r="AF27" s="60"/>
    </row>
    <row r="28" spans="1:32" ht="14.25" customHeight="1">
      <c r="A28" s="11">
        <f>IF(AND(ISNUMBER(D28),OR(ISNUMBER('Ввод данных и результаты'!D13),ISNUMBER('Ввод данных и результаты'!E13))),(AVERAGE('Ввод данных и результаты'!D13,'Ввод данных и результаты'!E13)-$J$45*$L$45),80)</f>
        <v>80</v>
      </c>
      <c r="B28" t="e">
        <f>IF(ISNUMBER('Ввод данных и результаты'!C13),'Ввод данных и результаты'!C13,NA())</f>
        <v>#N/A</v>
      </c>
      <c r="C28" s="44" t="e">
        <f>IF(AND(ISNUMBER(D28),OR(ISNUMBER('Ввод данных и результаты'!D13),ISNUMBER('Ввод данных и результаты'!E13))),IF($J$46="+",LN(AVERAGE('Ввод данных и результаты'!D13,'Ввод данных и результаты'!E13)-$J$45*$L$45),AVERAGE('Ввод данных и результаты'!D13,'Ввод данных и результаты'!E13)-$J$45*$L$45),NA())</f>
        <v>#N/A</v>
      </c>
      <c r="D28" s="2" t="e">
        <f>IF(ISNUMBER('Ввод данных и результаты'!C13),IF($J$81="+",LN('Ввод данных и результаты'!C13),'Ввод данных и результаты'!C13),NA())</f>
        <v>#N/A</v>
      </c>
      <c r="E28" s="11">
        <f>IF(AND(ISNUMBER(D28),OR(ISNUMBER('Ввод данных и результаты'!D13),ISNUMBER('Ввод данных и результаты'!E13))),(AVERAGE('Ввод данных и результаты'!D13,'Ввод данных и результаты'!E13)-$J$45*$L$45),-1)</f>
        <v>-1</v>
      </c>
      <c r="G28" t="e">
        <f t="shared" si="4"/>
        <v>#N/A</v>
      </c>
      <c r="H28">
        <f t="shared" si="1"/>
        <v>0</v>
      </c>
      <c r="I28">
        <f t="shared" si="2"/>
        <v>1000000</v>
      </c>
      <c r="J28">
        <f t="shared" si="3"/>
        <v>-1000000</v>
      </c>
      <c r="M28" s="48"/>
      <c r="N28" s="49"/>
      <c r="O28" s="49"/>
      <c r="P28" s="49"/>
      <c r="Q28" s="49"/>
      <c r="R28" s="49"/>
      <c r="S28" s="49"/>
      <c r="T28" s="49"/>
      <c r="U28" s="49"/>
      <c r="V28" s="49"/>
      <c r="W28" s="49"/>
      <c r="X28" s="50"/>
      <c r="Y28" s="58"/>
      <c r="Z28" s="59"/>
      <c r="AA28" s="59"/>
      <c r="AB28" s="59"/>
      <c r="AC28" s="59"/>
      <c r="AD28" s="59"/>
      <c r="AE28" s="59"/>
      <c r="AF28" s="60"/>
    </row>
    <row r="29" spans="1:32" ht="14.25" customHeight="1">
      <c r="A29" s="11">
        <f>IF(AND(ISNUMBER(D29),OR(ISNUMBER('Ввод данных и результаты'!D14),ISNUMBER('Ввод данных и результаты'!E14))),(AVERAGE('Ввод данных и результаты'!D14,'Ввод данных и результаты'!E14)-$J$45*$L$45),80)</f>
        <v>80</v>
      </c>
      <c r="B29" t="e">
        <f>IF(ISNUMBER('Ввод данных и результаты'!C14),'Ввод данных и результаты'!C14,NA())</f>
        <v>#N/A</v>
      </c>
      <c r="C29" s="44" t="e">
        <f>IF(AND(ISNUMBER(D29),OR(ISNUMBER('Ввод данных и результаты'!D14),ISNUMBER('Ввод данных и результаты'!E14))),IF($J$46="+",LN(AVERAGE('Ввод данных и результаты'!D14,'Ввод данных и результаты'!E14)-$J$45*$L$45),AVERAGE('Ввод данных и результаты'!D14,'Ввод данных и результаты'!E14)-$J$45*$L$45),NA())</f>
        <v>#N/A</v>
      </c>
      <c r="D29" s="2" t="e">
        <f>IF(ISNUMBER('Ввод данных и результаты'!C14),IF($J$81="+",LN('Ввод данных и результаты'!C14),'Ввод данных и результаты'!C14),NA())</f>
        <v>#N/A</v>
      </c>
      <c r="E29" s="11">
        <f>IF(AND(ISNUMBER(D29),OR(ISNUMBER('Ввод данных и результаты'!D14),ISNUMBER('Ввод данных и результаты'!E14))),(AVERAGE('Ввод данных и результаты'!D14,'Ввод данных и результаты'!E14)-$J$45*$L$45),-1)</f>
        <v>-1</v>
      </c>
      <c r="G29" t="e">
        <f t="shared" si="4"/>
        <v>#N/A</v>
      </c>
      <c r="H29">
        <f t="shared" si="1"/>
        <v>0</v>
      </c>
      <c r="I29">
        <f t="shared" si="2"/>
        <v>1000000</v>
      </c>
      <c r="J29">
        <f t="shared" si="3"/>
        <v>-1000000</v>
      </c>
      <c r="M29" s="48"/>
      <c r="N29" s="49"/>
      <c r="O29" s="49"/>
      <c r="P29" s="49"/>
      <c r="Q29" s="49"/>
      <c r="R29" s="49"/>
      <c r="S29" s="49"/>
      <c r="T29" s="49"/>
      <c r="U29" s="49"/>
      <c r="V29" s="49"/>
      <c r="W29" s="49"/>
      <c r="X29" s="50"/>
      <c r="Y29" s="58"/>
      <c r="Z29" s="59"/>
      <c r="AA29" s="59"/>
      <c r="AB29" s="59"/>
      <c r="AC29" s="59"/>
      <c r="AD29" s="59"/>
      <c r="AE29" s="59"/>
      <c r="AF29" s="60"/>
    </row>
    <row r="30" spans="1:32" ht="14.25" customHeight="1">
      <c r="A30" s="11">
        <f>IF(AND(ISNUMBER(D30),OR(ISNUMBER('Ввод данных и результаты'!D15),ISNUMBER('Ввод данных и результаты'!E15))),(AVERAGE('Ввод данных и результаты'!D15,'Ввод данных и результаты'!E15)-$J$45*$L$45),80)</f>
        <v>80</v>
      </c>
      <c r="B30" t="e">
        <f>IF(ISNUMBER('Ввод данных и результаты'!C15),'Ввод данных и результаты'!C15,NA())</f>
        <v>#N/A</v>
      </c>
      <c r="C30" s="44" t="e">
        <f>IF(AND(ISNUMBER(D30),OR(ISNUMBER('Ввод данных и результаты'!D15),ISNUMBER('Ввод данных и результаты'!E15))),IF($J$46="+",LN(AVERAGE('Ввод данных и результаты'!D15,'Ввод данных и результаты'!E15)-$J$45*$L$45),AVERAGE('Ввод данных и результаты'!D15,'Ввод данных и результаты'!E15)-$J$45*$L$45),NA())</f>
        <v>#N/A</v>
      </c>
      <c r="D30" s="2" t="e">
        <f>IF(ISNUMBER('Ввод данных и результаты'!C15),IF($J$81="+",LN('Ввод данных и результаты'!C15),'Ввод данных и результаты'!C15),NA())</f>
        <v>#N/A</v>
      </c>
      <c r="E30" s="11">
        <f>IF(AND(ISNUMBER(D30),OR(ISNUMBER('Ввод данных и результаты'!D15),ISNUMBER('Ввод данных и результаты'!E15))),(AVERAGE('Ввод данных и результаты'!D15,'Ввод данных и результаты'!E15)-$J$45*$L$45),-1)</f>
        <v>-1</v>
      </c>
      <c r="G30" t="e">
        <f t="shared" si="4"/>
        <v>#N/A</v>
      </c>
      <c r="H30">
        <f t="shared" si="1"/>
        <v>0</v>
      </c>
      <c r="I30">
        <f t="shared" si="2"/>
        <v>1000000</v>
      </c>
      <c r="J30">
        <f t="shared" si="3"/>
        <v>-1000000</v>
      </c>
      <c r="M30" s="48"/>
      <c r="N30" s="49"/>
      <c r="O30" s="49"/>
      <c r="P30" s="49"/>
      <c r="Q30" s="49"/>
      <c r="R30" s="49"/>
      <c r="S30" s="49"/>
      <c r="T30" s="49"/>
      <c r="U30" s="49"/>
      <c r="V30" s="49"/>
      <c r="W30" s="49"/>
      <c r="X30" s="50"/>
      <c r="Y30" s="58"/>
      <c r="Z30" s="59"/>
      <c r="AA30" s="59"/>
      <c r="AB30" s="59"/>
      <c r="AC30" s="59"/>
      <c r="AD30" s="59"/>
      <c r="AE30" s="59"/>
      <c r="AF30" s="60"/>
    </row>
    <row r="31" spans="1:32" ht="14.25" customHeight="1">
      <c r="A31" s="11">
        <f>IF(AND(ISNUMBER(D31),OR(ISNUMBER('Ввод данных и результаты'!D16),ISNUMBER('Ввод данных и результаты'!E16))),(AVERAGE('Ввод данных и результаты'!D16,'Ввод данных и результаты'!E16)-$J$45*$L$45),80)</f>
        <v>80</v>
      </c>
      <c r="B31" t="e">
        <f>IF(ISNUMBER('Ввод данных и результаты'!C16),'Ввод данных и результаты'!C16,NA())</f>
        <v>#N/A</v>
      </c>
      <c r="C31" s="44" t="e">
        <f>IF(AND(ISNUMBER(D31),OR(ISNUMBER('Ввод данных и результаты'!D16),ISNUMBER('Ввод данных и результаты'!E16))),IF($J$46="+",LN(AVERAGE('Ввод данных и результаты'!D16,'Ввод данных и результаты'!E16)-$J$45*$L$45),AVERAGE('Ввод данных и результаты'!D16,'Ввод данных и результаты'!E16)-$J$45*$L$45),NA())</f>
        <v>#N/A</v>
      </c>
      <c r="D31" s="2" t="e">
        <f>IF(ISNUMBER('Ввод данных и результаты'!C16),IF($J$81="+",LN('Ввод данных и результаты'!C16),'Ввод данных и результаты'!C16),NA())</f>
        <v>#N/A</v>
      </c>
      <c r="E31" s="11">
        <f>IF(AND(ISNUMBER(D31),OR(ISNUMBER('Ввод данных и результаты'!D16),ISNUMBER('Ввод данных и результаты'!E16))),(AVERAGE('Ввод данных и результаты'!D16,'Ввод данных и результаты'!E16)-$J$45*$L$45),-1)</f>
        <v>-1</v>
      </c>
      <c r="G31" t="e">
        <f t="shared" si="4"/>
        <v>#N/A</v>
      </c>
      <c r="H31">
        <f t="shared" si="1"/>
        <v>0</v>
      </c>
      <c r="I31">
        <v>1000000</v>
      </c>
      <c r="J31">
        <f t="shared" si="3"/>
        <v>-1000000</v>
      </c>
      <c r="K31">
        <f>Рабочий!$G$8*I7*I7*I7*I7*I7+Рабочий!$G$9*I7*I7*I7*I7+Рабочий!$G$10*I7*I7*I7+Рабочий!$G$11*I7*I7+Рабочий!$G$12*I7+Рабочий!$G$13</f>
        <v>0.29837499999999995</v>
      </c>
      <c r="M31" s="48"/>
      <c r="N31" s="49"/>
      <c r="O31" s="49"/>
      <c r="P31" s="49"/>
      <c r="Q31" s="49"/>
      <c r="R31" s="49"/>
      <c r="S31" s="49"/>
      <c r="T31" s="49"/>
      <c r="U31" s="49"/>
      <c r="V31" s="49"/>
      <c r="W31" s="49"/>
      <c r="X31" s="50"/>
      <c r="Y31" s="58"/>
      <c r="Z31" s="59"/>
      <c r="AA31" s="59"/>
      <c r="AB31" s="59"/>
      <c r="AC31" s="59"/>
      <c r="AD31" s="59"/>
      <c r="AE31" s="59"/>
      <c r="AF31" s="60"/>
    </row>
    <row r="32" spans="13:32" ht="14.25" customHeight="1">
      <c r="M32" s="48"/>
      <c r="N32" s="49"/>
      <c r="O32" s="49"/>
      <c r="P32" s="49"/>
      <c r="Q32" s="49"/>
      <c r="R32" s="49"/>
      <c r="S32" s="49"/>
      <c r="T32" s="49"/>
      <c r="U32" s="49"/>
      <c r="V32" s="49"/>
      <c r="W32" s="49"/>
      <c r="X32" s="50"/>
      <c r="Y32" s="58"/>
      <c r="Z32" s="59"/>
      <c r="AA32" s="59"/>
      <c r="AB32" s="59"/>
      <c r="AC32" s="59"/>
      <c r="AD32" s="59"/>
      <c r="AE32" s="59"/>
      <c r="AF32" s="60"/>
    </row>
    <row r="33" spans="1:32" ht="14.25" customHeight="1">
      <c r="A33">
        <v>1</v>
      </c>
      <c r="B33">
        <v>2</v>
      </c>
      <c r="C33">
        <v>3</v>
      </c>
      <c r="D33">
        <v>4</v>
      </c>
      <c r="E33">
        <v>5</v>
      </c>
      <c r="F33">
        <v>6</v>
      </c>
      <c r="G33">
        <v>7</v>
      </c>
      <c r="H33">
        <v>8</v>
      </c>
      <c r="I33">
        <v>9</v>
      </c>
      <c r="M33" s="48"/>
      <c r="N33" s="49"/>
      <c r="O33" s="49"/>
      <c r="P33" s="49"/>
      <c r="Q33" s="49"/>
      <c r="R33" s="49"/>
      <c r="S33" s="49"/>
      <c r="T33" s="49"/>
      <c r="U33" s="49"/>
      <c r="V33" s="49"/>
      <c r="W33" s="49"/>
      <c r="X33" s="50"/>
      <c r="Y33" s="58"/>
      <c r="Z33" s="59"/>
      <c r="AA33" s="59"/>
      <c r="AB33" s="59"/>
      <c r="AC33" s="59"/>
      <c r="AD33" s="59"/>
      <c r="AE33" s="59"/>
      <c r="AF33" s="60"/>
    </row>
    <row r="34" spans="1:32" ht="14.25" customHeight="1">
      <c r="A34">
        <f>MIN(A20:A31)</f>
        <v>80</v>
      </c>
      <c r="D34">
        <f>MAX('Ввод данных и результаты'!C5:C16)</f>
        <v>0</v>
      </c>
      <c r="E34">
        <f>MAX(E20:E31)</f>
        <v>-1</v>
      </c>
      <c r="I34">
        <f>MIN(I20:I31)</f>
        <v>1000000</v>
      </c>
      <c r="J34">
        <f>MAX(J20:J31)</f>
        <v>-1000000</v>
      </c>
      <c r="M34" s="48"/>
      <c r="N34" s="49"/>
      <c r="O34" s="49"/>
      <c r="P34" s="49"/>
      <c r="Q34" s="49"/>
      <c r="R34" s="49"/>
      <c r="S34" s="49"/>
      <c r="T34" s="49"/>
      <c r="U34" s="49"/>
      <c r="V34" s="49"/>
      <c r="W34" s="49"/>
      <c r="X34" s="50"/>
      <c r="Y34" s="58"/>
      <c r="Z34" s="59"/>
      <c r="AA34" s="59"/>
      <c r="AB34" s="59"/>
      <c r="AC34" s="59"/>
      <c r="AD34" s="59"/>
      <c r="AE34" s="59"/>
      <c r="AF34" s="60"/>
    </row>
    <row r="35" spans="13:32" ht="14.25" customHeight="1">
      <c r="M35" s="48"/>
      <c r="N35" s="49"/>
      <c r="O35" s="49"/>
      <c r="P35" s="49"/>
      <c r="Q35" s="49"/>
      <c r="R35" s="49"/>
      <c r="S35" s="49"/>
      <c r="T35" s="49"/>
      <c r="U35" s="49"/>
      <c r="V35" s="49"/>
      <c r="W35" s="49"/>
      <c r="X35" s="50"/>
      <c r="Y35" s="58"/>
      <c r="Z35" s="59"/>
      <c r="AA35" s="59"/>
      <c r="AB35" s="59"/>
      <c r="AC35" s="59"/>
      <c r="AD35" s="59"/>
      <c r="AE35" s="59"/>
      <c r="AF35" s="60"/>
    </row>
    <row r="36" spans="5:32" ht="14.25" customHeight="1">
      <c r="E36" s="39"/>
      <c r="M36" s="48"/>
      <c r="N36" s="49"/>
      <c r="O36" s="49"/>
      <c r="P36" s="49"/>
      <c r="Q36" s="49"/>
      <c r="R36" s="49"/>
      <c r="S36" s="49"/>
      <c r="T36" s="49"/>
      <c r="U36" s="49"/>
      <c r="V36" s="49"/>
      <c r="W36" s="49"/>
      <c r="X36" s="50"/>
      <c r="Y36" s="58"/>
      <c r="Z36" s="59"/>
      <c r="AA36" s="59"/>
      <c r="AB36" s="59"/>
      <c r="AC36" s="59"/>
      <c r="AD36" s="59"/>
      <c r="AE36" s="59"/>
      <c r="AF36" s="60"/>
    </row>
    <row r="37" spans="5:32" ht="14.25" customHeight="1">
      <c r="E37" s="39"/>
      <c r="M37" s="48"/>
      <c r="N37" s="49"/>
      <c r="O37" s="49"/>
      <c r="P37" s="49"/>
      <c r="Q37" s="49"/>
      <c r="R37" s="49"/>
      <c r="S37" s="49"/>
      <c r="T37" s="49"/>
      <c r="U37" s="49"/>
      <c r="V37" s="49"/>
      <c r="W37" s="49"/>
      <c r="X37" s="50"/>
      <c r="Y37" s="58"/>
      <c r="Z37" s="59"/>
      <c r="AA37" s="59"/>
      <c r="AB37" s="59"/>
      <c r="AC37" s="59"/>
      <c r="AD37" s="59"/>
      <c r="AE37" s="59"/>
      <c r="AF37" s="60"/>
    </row>
    <row r="38" spans="5:32" ht="14.25" customHeight="1">
      <c r="E38" s="39"/>
      <c r="M38" s="48"/>
      <c r="N38" s="49"/>
      <c r="O38" s="49"/>
      <c r="P38" s="49"/>
      <c r="Q38" s="49"/>
      <c r="R38" s="49"/>
      <c r="S38" s="49"/>
      <c r="T38" s="49"/>
      <c r="U38" s="49"/>
      <c r="V38" s="49"/>
      <c r="W38" s="49"/>
      <c r="X38" s="50"/>
      <c r="Y38" s="58"/>
      <c r="Z38" s="59"/>
      <c r="AA38" s="59"/>
      <c r="AB38" s="59"/>
      <c r="AC38" s="59"/>
      <c r="AD38" s="59"/>
      <c r="AE38" s="59"/>
      <c r="AF38" s="60"/>
    </row>
    <row r="39" spans="5:32" ht="14.25" customHeight="1">
      <c r="E39" s="39"/>
      <c r="M39" s="48"/>
      <c r="N39" s="49"/>
      <c r="O39" s="49"/>
      <c r="P39" s="49"/>
      <c r="Q39" s="49"/>
      <c r="R39" s="49"/>
      <c r="S39" s="49"/>
      <c r="T39" s="49"/>
      <c r="U39" s="49"/>
      <c r="V39" s="49"/>
      <c r="W39" s="49"/>
      <c r="X39" s="50"/>
      <c r="Y39" s="58"/>
      <c r="Z39" s="59"/>
      <c r="AA39" s="59"/>
      <c r="AB39" s="59"/>
      <c r="AC39" s="59"/>
      <c r="AD39" s="59"/>
      <c r="AE39" s="59"/>
      <c r="AF39" s="60"/>
    </row>
    <row r="40" spans="4:32" ht="14.25" customHeight="1">
      <c r="D40" s="4"/>
      <c r="E40" s="39"/>
      <c r="M40" s="48"/>
      <c r="N40" s="49"/>
      <c r="O40" s="49"/>
      <c r="P40" s="49"/>
      <c r="Q40" s="49"/>
      <c r="R40" s="49"/>
      <c r="S40" s="49"/>
      <c r="T40" s="49"/>
      <c r="U40" s="49"/>
      <c r="V40" s="49"/>
      <c r="W40" s="49"/>
      <c r="X40" s="50"/>
      <c r="Y40" s="58"/>
      <c r="Z40" s="59"/>
      <c r="AA40" s="59"/>
      <c r="AB40" s="59"/>
      <c r="AC40" s="59"/>
      <c r="AD40" s="59"/>
      <c r="AE40" s="59"/>
      <c r="AF40" s="60"/>
    </row>
    <row r="41" spans="4:32" ht="14.25" customHeight="1">
      <c r="D41" s="4"/>
      <c r="E41" s="39"/>
      <c r="M41" s="48"/>
      <c r="N41" s="49"/>
      <c r="O41" s="49"/>
      <c r="P41" s="49"/>
      <c r="Q41" s="49"/>
      <c r="R41" s="49"/>
      <c r="S41" s="49"/>
      <c r="T41" s="49"/>
      <c r="U41" s="49"/>
      <c r="V41" s="49"/>
      <c r="W41" s="49"/>
      <c r="X41" s="50"/>
      <c r="Y41" s="58"/>
      <c r="Z41" s="59"/>
      <c r="AA41" s="59"/>
      <c r="AB41" s="59"/>
      <c r="AC41" s="59"/>
      <c r="AD41" s="59"/>
      <c r="AE41" s="59"/>
      <c r="AF41" s="60"/>
    </row>
    <row r="42" spans="4:32" ht="14.25" customHeight="1" thickBot="1">
      <c r="D42" s="4"/>
      <c r="E42" s="39"/>
      <c r="M42" s="52"/>
      <c r="N42" s="53"/>
      <c r="O42" s="53"/>
      <c r="P42" s="53"/>
      <c r="Q42" s="53"/>
      <c r="R42" s="53"/>
      <c r="S42" s="53"/>
      <c r="T42" s="53"/>
      <c r="U42" s="53"/>
      <c r="V42" s="53"/>
      <c r="W42" s="53"/>
      <c r="X42" s="54"/>
      <c r="Y42" s="61"/>
      <c r="Z42" s="62"/>
      <c r="AA42" s="62"/>
      <c r="AB42" s="62"/>
      <c r="AC42" s="62"/>
      <c r="AD42" s="62"/>
      <c r="AE42" s="62"/>
      <c r="AF42" s="63"/>
    </row>
    <row r="43" spans="4:5" ht="14.25" customHeight="1">
      <c r="D43" s="4"/>
      <c r="E43" s="39"/>
    </row>
    <row r="44" spans="4:10" ht="15" customHeight="1">
      <c r="D44" s="4"/>
      <c r="E44" s="39"/>
      <c r="H44" t="s">
        <v>59</v>
      </c>
      <c r="J44">
        <v>1</v>
      </c>
    </row>
    <row r="45" spans="4:12" ht="12.75">
      <c r="D45" s="4"/>
      <c r="H45" t="s">
        <v>67</v>
      </c>
      <c r="J45">
        <f>K48</f>
        <v>1</v>
      </c>
      <c r="L45">
        <f>IF(COUNT('Ввод данных и результаты'!C19:C22)&gt;0,AVERAGE('Ввод данных и результаты'!C19:C22),0)</f>
        <v>0</v>
      </c>
    </row>
    <row r="46" spans="4:10" ht="12.75">
      <c r="D46" s="4"/>
      <c r="H46" t="s">
        <v>60</v>
      </c>
      <c r="J46" t="str">
        <f>J48</f>
        <v>-</v>
      </c>
    </row>
    <row r="47" spans="4:16" ht="12.75">
      <c r="D47" s="4"/>
      <c r="H47" s="70" t="s">
        <v>73</v>
      </c>
      <c r="I47" t="s">
        <v>66</v>
      </c>
      <c r="J47" s="4" t="s">
        <v>74</v>
      </c>
      <c r="K47" s="4" t="s">
        <v>68</v>
      </c>
      <c r="L47" s="4" t="s">
        <v>75</v>
      </c>
      <c r="M47" s="4" t="s">
        <v>76</v>
      </c>
      <c r="N47" s="4" t="s">
        <v>77</v>
      </c>
      <c r="O47" s="4" t="s">
        <v>76</v>
      </c>
      <c r="P47" s="4" t="s">
        <v>77</v>
      </c>
    </row>
    <row r="48" spans="4:16" ht="12.75">
      <c r="D48" s="4"/>
      <c r="G48" s="7">
        <v>7</v>
      </c>
      <c r="H48" t="str">
        <f ca="1">INDIRECT(ADDRESS(94+$G$48,7))</f>
        <v>анти-ТПО</v>
      </c>
      <c r="I48">
        <f ca="1">INDIRECT(ADDRESS(94+$G$48,8))</f>
        <v>5</v>
      </c>
      <c r="J48" t="str">
        <f ca="1">INDIRECT(ADDRESS(94+$G$48,9))</f>
        <v>-</v>
      </c>
      <c r="K48">
        <f ca="1">INDIRECT(ADDRESS(94+$G$48,10))</f>
        <v>1</v>
      </c>
      <c r="L48" t="str">
        <f ca="1">INDIRECT(ADDRESS(94+$G$48,11))</f>
        <v>МЕ/мл</v>
      </c>
      <c r="M48" t="str">
        <f ca="1">INDIRECT(ADDRESS(94+$G$48,12))</f>
        <v>&lt;2</v>
      </c>
      <c r="N48" t="str">
        <f ca="1">INDIRECT(ADDRESS(94+$G$48,13))</f>
        <v>&gt;-1000000</v>
      </c>
      <c r="O48">
        <f ca="1">INDIRECT(ADDRESS(94+$G$48,14))</f>
        <v>1E-06</v>
      </c>
      <c r="P48">
        <f ca="1">INDIRECT(ADDRESS(94+$G$48,15))</f>
        <v>30</v>
      </c>
    </row>
    <row r="49" spans="3:27" ht="13.5" thickBot="1">
      <c r="C49" s="64"/>
      <c r="D49" s="4"/>
      <c r="X49" s="71"/>
      <c r="Y49" s="7"/>
      <c r="Z49" s="7"/>
      <c r="AA49" s="80"/>
    </row>
    <row r="50" spans="3:27" ht="13.5" thickBot="1">
      <c r="C50" s="64"/>
      <c r="D50" s="4"/>
      <c r="G50" t="s">
        <v>57</v>
      </c>
      <c r="H50" s="16"/>
      <c r="I50" s="16">
        <v>2</v>
      </c>
      <c r="J50" s="16">
        <v>3</v>
      </c>
      <c r="K50" s="16">
        <v>4</v>
      </c>
      <c r="L50" s="16">
        <v>5</v>
      </c>
      <c r="M50" s="16">
        <v>6</v>
      </c>
      <c r="N50" s="16">
        <v>7</v>
      </c>
      <c r="O50" s="16">
        <v>8</v>
      </c>
      <c r="P50" s="16">
        <v>9</v>
      </c>
      <c r="Q50" s="8">
        <v>10</v>
      </c>
      <c r="R50" s="8">
        <v>11</v>
      </c>
      <c r="S50" s="8">
        <v>12</v>
      </c>
      <c r="X50" s="71"/>
      <c r="Y50" s="7"/>
      <c r="Z50" s="7"/>
      <c r="AA50" s="80"/>
    </row>
    <row r="51" spans="3:27" ht="13.5" thickBot="1">
      <c r="C51" s="64"/>
      <c r="D51" s="4"/>
      <c r="G51" s="15" t="s">
        <v>8</v>
      </c>
      <c r="H51" s="40" t="str">
        <f>IF(ISNUMBER('Ввод данных и результаты'!I7),IF($J$46="+",LN('Ввод данных и результаты'!I7-$J$45*$L$45),'Ввод данных и результаты'!I7-$J$45*$L$45)," ")</f>
        <v> </v>
      </c>
      <c r="I51" s="40" t="str">
        <f>IF(ISNUMBER('Ввод данных и результаты'!J7),IF($J$46="+",LN('Ввод данных и результаты'!J7-$J$45*$L$45),'Ввод данных и результаты'!J7-$J$45*$L$45)," ")</f>
        <v> </v>
      </c>
      <c r="J51" s="40" t="str">
        <f>IF(ISNUMBER('Ввод данных и результаты'!K7),IF($J$46="+",LN('Ввод данных и результаты'!K7-$J$45*$L$45),'Ввод данных и результаты'!K7-$J$45*$L$45)," ")</f>
        <v> </v>
      </c>
      <c r="K51" s="40" t="str">
        <f>IF(ISNUMBER('Ввод данных и результаты'!L7),IF($J$46="+",LN('Ввод данных и результаты'!L7-$J$45*$L$45),'Ввод данных и результаты'!L7-$J$45*$L$45)," ")</f>
        <v> </v>
      </c>
      <c r="L51" s="40" t="str">
        <f>IF(ISNUMBER('Ввод данных и результаты'!M7),IF($J$46="+",LN('Ввод данных и результаты'!M7-$J$45*$L$45),'Ввод данных и результаты'!M7-$J$45*$L$45)," ")</f>
        <v> </v>
      </c>
      <c r="M51" s="40" t="str">
        <f>IF(ISNUMBER('Ввод данных и результаты'!N7),IF($J$46="+",LN('Ввод данных и результаты'!N7-$J$45*$L$45),'Ввод данных и результаты'!N7-$J$45*$L$45)," ")</f>
        <v> </v>
      </c>
      <c r="N51" s="40" t="str">
        <f>IF(ISNUMBER('Ввод данных и результаты'!O7),IF($J$46="+",LN('Ввод данных и результаты'!O7-$J$45*$L$45),'Ввод данных и результаты'!O7-$J$45*$L$45)," ")</f>
        <v> </v>
      </c>
      <c r="O51" s="40" t="str">
        <f>IF(ISNUMBER('Ввод данных и результаты'!P7),IF($J$46="+",LN('Ввод данных и результаты'!P7-$J$45*$L$45),'Ввод данных и результаты'!P7-$J$45*$L$45)," ")</f>
        <v> </v>
      </c>
      <c r="P51" s="40" t="str">
        <f>IF(ISNUMBER('Ввод данных и результаты'!Q7),IF($J$46="+",LN('Ввод данных и результаты'!Q7-$J$45*$L$45),'Ввод данных и результаты'!Q7-$J$45*$L$45)," ")</f>
        <v> </v>
      </c>
      <c r="Q51" s="40" t="str">
        <f>IF(ISNUMBER('Ввод данных и результаты'!R7),IF($J$46="+",LN('Ввод данных и результаты'!R7-$J$45*$L$45),'Ввод данных и результаты'!R7-$J$45*$L$45)," ")</f>
        <v> </v>
      </c>
      <c r="R51" s="40" t="str">
        <f>IF(ISNUMBER('Ввод данных и результаты'!S7),IF($J$46="+",LN('Ввод данных и результаты'!S7-$J$45*$L$45),'Ввод данных и результаты'!S7-$J$45*$L$45)," ")</f>
        <v> </v>
      </c>
      <c r="S51" s="40" t="str">
        <f>IF(ISNUMBER('Ввод данных и результаты'!T7),IF($J$46="+",LN('Ввод данных и результаты'!T7-$J$45*$L$45),'Ввод данных и результаты'!T7-$J$45*$L$45)," ")</f>
        <v> </v>
      </c>
      <c r="X51" s="71"/>
      <c r="Y51" s="7"/>
      <c r="Z51" s="7"/>
      <c r="AA51" s="80"/>
    </row>
    <row r="52" spans="3:27" ht="13.5" thickBot="1">
      <c r="C52" s="64"/>
      <c r="D52" s="4"/>
      <c r="G52" s="9" t="s">
        <v>9</v>
      </c>
      <c r="H52" s="40" t="str">
        <f>IF(ISNUMBER('Ввод данных и результаты'!I8),IF($J$46="+",LN('Ввод данных и результаты'!I8-$J$45*$L$45),'Ввод данных и результаты'!I8-$J$45*$L$45)," ")</f>
        <v> </v>
      </c>
      <c r="I52" s="40" t="str">
        <f>IF(ISNUMBER('Ввод данных и результаты'!J8),IF($J$46="+",LN('Ввод данных и результаты'!J8-$J$45*$L$45),'Ввод данных и результаты'!J8-$J$45*$L$45)," ")</f>
        <v> </v>
      </c>
      <c r="J52" s="40" t="str">
        <f>IF(ISNUMBER('Ввод данных и результаты'!K8),IF($J$46="+",LN('Ввод данных и результаты'!K8-$J$45*$L$45),'Ввод данных и результаты'!K8-$J$45*$L$45)," ")</f>
        <v> </v>
      </c>
      <c r="K52" s="40" t="str">
        <f>IF(ISNUMBER('Ввод данных и результаты'!L8),IF($J$46="+",LN('Ввод данных и результаты'!L8-$J$45*$L$45),'Ввод данных и результаты'!L8-$J$45*$L$45)," ")</f>
        <v> </v>
      </c>
      <c r="L52" s="40" t="str">
        <f>IF(ISNUMBER('Ввод данных и результаты'!M8),IF($J$46="+",LN('Ввод данных и результаты'!M8-$J$45*$L$45),'Ввод данных и результаты'!M8-$J$45*$L$45)," ")</f>
        <v> </v>
      </c>
      <c r="M52" s="40" t="str">
        <f>IF(ISNUMBER('Ввод данных и результаты'!N8),IF($J$46="+",LN('Ввод данных и результаты'!N8-$J$45*$L$45),'Ввод данных и результаты'!N8-$J$45*$L$45)," ")</f>
        <v> </v>
      </c>
      <c r="N52" s="40" t="str">
        <f>IF(ISNUMBER('Ввод данных и результаты'!O8),IF($J$46="+",LN('Ввод данных и результаты'!O8-$J$45*$L$45),'Ввод данных и результаты'!O8-$J$45*$L$45)," ")</f>
        <v> </v>
      </c>
      <c r="O52" s="40" t="str">
        <f>IF(ISNUMBER('Ввод данных и результаты'!P8),IF($J$46="+",LN('Ввод данных и результаты'!P8-$J$45*$L$45),'Ввод данных и результаты'!P8-$J$45*$L$45)," ")</f>
        <v> </v>
      </c>
      <c r="P52" s="40" t="str">
        <f>IF(ISNUMBER('Ввод данных и результаты'!Q8),IF($J$46="+",LN('Ввод данных и результаты'!Q8-$J$45*$L$45),'Ввод данных и результаты'!Q8-$J$45*$L$45)," ")</f>
        <v> </v>
      </c>
      <c r="Q52" s="40" t="str">
        <f>IF(ISNUMBER('Ввод данных и результаты'!R8),IF($J$46="+",LN('Ввод данных и результаты'!R8-$J$45*$L$45),'Ввод данных и результаты'!R8-$J$45*$L$45)," ")</f>
        <v> </v>
      </c>
      <c r="R52" s="40" t="str">
        <f>IF(ISNUMBER('Ввод данных и результаты'!S8),IF($J$46="+",LN('Ввод данных и результаты'!S8-$J$45*$L$45),'Ввод данных и результаты'!S8-$J$45*$L$45)," ")</f>
        <v> </v>
      </c>
      <c r="S52" s="40" t="str">
        <f>IF(ISNUMBER('Ввод данных и результаты'!T8),IF($J$46="+",LN('Ввод данных и результаты'!T8-$J$45*$L$45),'Ввод данных и результаты'!T8-$J$45*$L$45)," ")</f>
        <v> </v>
      </c>
      <c r="X52" s="71"/>
      <c r="Y52" s="7"/>
      <c r="Z52" s="7"/>
      <c r="AA52" s="80"/>
    </row>
    <row r="53" spans="7:27" ht="13.5" thickBot="1">
      <c r="G53" s="9" t="s">
        <v>10</v>
      </c>
      <c r="H53" s="40" t="str">
        <f>IF(ISNUMBER('Ввод данных и результаты'!I9),IF($J$46="+",LN('Ввод данных и результаты'!I9-$J$45*$L$45),'Ввод данных и результаты'!I9-$J$45*$L$45)," ")</f>
        <v> </v>
      </c>
      <c r="I53" s="40" t="str">
        <f>IF(ISNUMBER('Ввод данных и результаты'!J9),IF($J$46="+",LN('Ввод данных и результаты'!J9-$J$45*$L$45),'Ввод данных и результаты'!J9-$J$45*$L$45)," ")</f>
        <v> </v>
      </c>
      <c r="J53" s="40" t="str">
        <f>IF(ISNUMBER('Ввод данных и результаты'!K9),IF($J$46="+",LN('Ввод данных и результаты'!K9-$J$45*$L$45),'Ввод данных и результаты'!K9-$J$45*$L$45)," ")</f>
        <v> </v>
      </c>
      <c r="K53" s="40" t="str">
        <f>IF(ISNUMBER('Ввод данных и результаты'!L9),IF($J$46="+",LN('Ввод данных и результаты'!L9-$J$45*$L$45),'Ввод данных и результаты'!L9-$J$45*$L$45)," ")</f>
        <v> </v>
      </c>
      <c r="L53" s="40" t="str">
        <f>IF(ISNUMBER('Ввод данных и результаты'!M9),IF($J$46="+",LN('Ввод данных и результаты'!M9-$J$45*$L$45),'Ввод данных и результаты'!M9-$J$45*$L$45)," ")</f>
        <v> </v>
      </c>
      <c r="M53" s="40" t="str">
        <f>IF(ISNUMBER('Ввод данных и результаты'!N9),IF($J$46="+",LN('Ввод данных и результаты'!N9-$J$45*$L$45),'Ввод данных и результаты'!N9-$J$45*$L$45)," ")</f>
        <v> </v>
      </c>
      <c r="N53" s="40" t="str">
        <f>IF(ISNUMBER('Ввод данных и результаты'!O9),IF($J$46="+",LN('Ввод данных и результаты'!O9-$J$45*$L$45),'Ввод данных и результаты'!O9-$J$45*$L$45)," ")</f>
        <v> </v>
      </c>
      <c r="O53" s="40" t="str">
        <f>IF(ISNUMBER('Ввод данных и результаты'!P9),IF($J$46="+",LN('Ввод данных и результаты'!P9-$J$45*$L$45),'Ввод данных и результаты'!P9-$J$45*$L$45)," ")</f>
        <v> </v>
      </c>
      <c r="P53" s="40" t="str">
        <f>IF(ISNUMBER('Ввод данных и результаты'!Q9),IF($J$46="+",LN('Ввод данных и результаты'!Q9-$J$45*$L$45),'Ввод данных и результаты'!Q9-$J$45*$L$45)," ")</f>
        <v> </v>
      </c>
      <c r="Q53" s="40" t="str">
        <f>IF(ISNUMBER('Ввод данных и результаты'!R9),IF($J$46="+",LN('Ввод данных и результаты'!R9-$J$45*$L$45),'Ввод данных и результаты'!R9-$J$45*$L$45)," ")</f>
        <v> </v>
      </c>
      <c r="R53" s="40" t="str">
        <f>IF(ISNUMBER('Ввод данных и результаты'!S9),IF($J$46="+",LN('Ввод данных и результаты'!S9-$J$45*$L$45),'Ввод данных и результаты'!S9-$J$45*$L$45)," ")</f>
        <v> </v>
      </c>
      <c r="S53" s="40" t="str">
        <f>IF(ISNUMBER('Ввод данных и результаты'!T9),IF($J$46="+",LN('Ввод данных и результаты'!T9-$J$45*$L$45),'Ввод данных и результаты'!T9-$J$45*$L$45)," ")</f>
        <v> </v>
      </c>
      <c r="X53" s="71"/>
      <c r="Y53" s="7"/>
      <c r="Z53" s="7"/>
      <c r="AA53" s="80"/>
    </row>
    <row r="54" spans="3:27" ht="13.5" thickBot="1">
      <c r="C54" s="4"/>
      <c r="G54" s="9" t="s">
        <v>11</v>
      </c>
      <c r="H54" s="40" t="str">
        <f>IF(ISNUMBER('Ввод данных и результаты'!I10),IF($J$46="+",LN('Ввод данных и результаты'!I10-$J$45*$L$45),'Ввод данных и результаты'!I10-$J$45*$L$45)," ")</f>
        <v> </v>
      </c>
      <c r="I54" s="40" t="str">
        <f>IF(ISNUMBER('Ввод данных и результаты'!J10),IF($J$46="+",LN('Ввод данных и результаты'!J10-$J$45*$L$45),'Ввод данных и результаты'!J10-$J$45*$L$45)," ")</f>
        <v> </v>
      </c>
      <c r="J54" s="40" t="str">
        <f>IF(ISNUMBER('Ввод данных и результаты'!K10),IF($J$46="+",LN('Ввод данных и результаты'!K10-$J$45*$L$45),'Ввод данных и результаты'!K10-$J$45*$L$45)," ")</f>
        <v> </v>
      </c>
      <c r="K54" s="40" t="str">
        <f>IF(ISNUMBER('Ввод данных и результаты'!L10),IF($J$46="+",LN('Ввод данных и результаты'!L10-$J$45*$L$45),'Ввод данных и результаты'!L10-$J$45*$L$45)," ")</f>
        <v> </v>
      </c>
      <c r="L54" s="40" t="str">
        <f>IF(ISNUMBER('Ввод данных и результаты'!M10),IF($J$46="+",LN('Ввод данных и результаты'!M10-$J$45*$L$45),'Ввод данных и результаты'!M10-$J$45*$L$45)," ")</f>
        <v> </v>
      </c>
      <c r="M54" s="40" t="str">
        <f>IF(ISNUMBER('Ввод данных и результаты'!N10),IF($J$46="+",LN('Ввод данных и результаты'!N10-$J$45*$L$45),'Ввод данных и результаты'!N10-$J$45*$L$45)," ")</f>
        <v> </v>
      </c>
      <c r="N54" s="40" t="str">
        <f>IF(ISNUMBER('Ввод данных и результаты'!O10),IF($J$46="+",LN('Ввод данных и результаты'!O10-$J$45*$L$45),'Ввод данных и результаты'!O10-$J$45*$L$45)," ")</f>
        <v> </v>
      </c>
      <c r="O54" s="40" t="str">
        <f>IF(ISNUMBER('Ввод данных и результаты'!P10),IF($J$46="+",LN('Ввод данных и результаты'!P10-$J$45*$L$45),'Ввод данных и результаты'!P10-$J$45*$L$45)," ")</f>
        <v> </v>
      </c>
      <c r="P54" s="40" t="str">
        <f>IF(ISNUMBER('Ввод данных и результаты'!Q10),IF($J$46="+",LN('Ввод данных и результаты'!Q10-$J$45*$L$45),'Ввод данных и результаты'!Q10-$J$45*$L$45)," ")</f>
        <v> </v>
      </c>
      <c r="Q54" s="40" t="str">
        <f>IF(ISNUMBER('Ввод данных и результаты'!R10),IF($J$46="+",LN('Ввод данных и результаты'!R10-$J$45*$L$45),'Ввод данных и результаты'!R10-$J$45*$L$45)," ")</f>
        <v> </v>
      </c>
      <c r="R54" s="40" t="str">
        <f>IF(ISNUMBER('Ввод данных и результаты'!S10),IF($J$46="+",LN('Ввод данных и результаты'!S10-$J$45*$L$45),'Ввод данных и результаты'!S10-$J$45*$L$45)," ")</f>
        <v> </v>
      </c>
      <c r="S54" s="40" t="str">
        <f>IF(ISNUMBER('Ввод данных и результаты'!T10),IF($J$46="+",LN('Ввод данных и результаты'!T10-$J$45*$L$45),'Ввод данных и результаты'!T10-$J$45*$L$45)," ")</f>
        <v> </v>
      </c>
      <c r="X54" s="71"/>
      <c r="Y54" s="7"/>
      <c r="Z54" s="7"/>
      <c r="AA54" s="80"/>
    </row>
    <row r="55" spans="3:19" ht="13.5" thickBot="1">
      <c r="C55" s="4"/>
      <c r="G55" s="15" t="s">
        <v>12</v>
      </c>
      <c r="H55" s="40" t="str">
        <f>IF(ISNUMBER('Ввод данных и результаты'!I11),IF($J$46="+",LN('Ввод данных и результаты'!I11-$J$45*$L$45),'Ввод данных и результаты'!I11-$J$45*$L$45)," ")</f>
        <v> </v>
      </c>
      <c r="I55" s="40" t="str">
        <f>IF(ISNUMBER('Ввод данных и результаты'!J11),IF($J$46="+",LN('Ввод данных и результаты'!J11-$J$45*$L$45),'Ввод данных и результаты'!J11-$J$45*$L$45)," ")</f>
        <v> </v>
      </c>
      <c r="J55" s="40" t="str">
        <f>IF(ISNUMBER('Ввод данных и результаты'!K11),IF($J$46="+",LN('Ввод данных и результаты'!K11-$J$45*$L$45),'Ввод данных и результаты'!K11-$J$45*$L$45)," ")</f>
        <v> </v>
      </c>
      <c r="K55" s="40" t="str">
        <f>IF(ISNUMBER('Ввод данных и результаты'!L11),IF($J$46="+",LN('Ввод данных и результаты'!L11-$J$45*$L$45),'Ввод данных и результаты'!L11-$J$45*$L$45)," ")</f>
        <v> </v>
      </c>
      <c r="L55" s="40" t="str">
        <f>IF(ISNUMBER('Ввод данных и результаты'!M11),IF($J$46="+",LN('Ввод данных и результаты'!M11-$J$45*$L$45),'Ввод данных и результаты'!M11-$J$45*$L$45)," ")</f>
        <v> </v>
      </c>
      <c r="M55" s="40" t="str">
        <f>IF(ISNUMBER('Ввод данных и результаты'!N11),IF($J$46="+",LN('Ввод данных и результаты'!N11-$J$45*$L$45),'Ввод данных и результаты'!N11-$J$45*$L$45)," ")</f>
        <v> </v>
      </c>
      <c r="N55" s="40" t="str">
        <f>IF(ISNUMBER('Ввод данных и результаты'!O11),IF($J$46="+",LN('Ввод данных и результаты'!O11-$J$45*$L$45),'Ввод данных и результаты'!O11-$J$45*$L$45)," ")</f>
        <v> </v>
      </c>
      <c r="O55" s="40" t="str">
        <f>IF(ISNUMBER('Ввод данных и результаты'!P11),IF($J$46="+",LN('Ввод данных и результаты'!P11-$J$45*$L$45),'Ввод данных и результаты'!P11-$J$45*$L$45)," ")</f>
        <v> </v>
      </c>
      <c r="P55" s="40" t="str">
        <f>IF(ISNUMBER('Ввод данных и результаты'!Q11),IF($J$46="+",LN('Ввод данных и результаты'!Q11-$J$45*$L$45),'Ввод данных и результаты'!Q11-$J$45*$L$45)," ")</f>
        <v> </v>
      </c>
      <c r="Q55" s="40" t="str">
        <f>IF(ISNUMBER('Ввод данных и результаты'!R11),IF($J$46="+",LN('Ввод данных и результаты'!R11-$J$45*$L$45),'Ввод данных и результаты'!R11-$J$45*$L$45)," ")</f>
        <v> </v>
      </c>
      <c r="R55" s="40" t="str">
        <f>IF(ISNUMBER('Ввод данных и результаты'!S11),IF($J$46="+",LN('Ввод данных и результаты'!S11-$J$45*$L$45),'Ввод данных и результаты'!S11-$J$45*$L$45)," ")</f>
        <v> </v>
      </c>
      <c r="S55" s="40" t="str">
        <f>IF(ISNUMBER('Ввод данных и результаты'!T11),IF($J$46="+",LN('Ввод данных и результаты'!T11-$J$45*$L$45),'Ввод данных и результаты'!T11-$J$45*$L$45)," ")</f>
        <v> </v>
      </c>
    </row>
    <row r="56" spans="7:19" ht="13.5" thickBot="1">
      <c r="G56" s="15" t="s">
        <v>13</v>
      </c>
      <c r="H56" s="40" t="str">
        <f>IF(ISNUMBER('Ввод данных и результаты'!I12),IF($J$46="+",LN('Ввод данных и результаты'!I12-$J$45*$L$45),'Ввод данных и результаты'!I12-$J$45*$L$45)," ")</f>
        <v> </v>
      </c>
      <c r="I56" s="40" t="str">
        <f>IF(ISNUMBER('Ввод данных и результаты'!J12),IF($J$46="+",LN('Ввод данных и результаты'!J12-$J$45*$L$45),'Ввод данных и результаты'!J12-$J$45*$L$45)," ")</f>
        <v> </v>
      </c>
      <c r="J56" s="40" t="str">
        <f>IF(ISNUMBER('Ввод данных и результаты'!K12),IF($J$46="+",LN('Ввод данных и результаты'!K12-$J$45*$L$45),'Ввод данных и результаты'!K12-$J$45*$L$45)," ")</f>
        <v> </v>
      </c>
      <c r="K56" s="40" t="str">
        <f>IF(ISNUMBER('Ввод данных и результаты'!L12),IF($J$46="+",LN('Ввод данных и результаты'!L12-$J$45*$L$45),'Ввод данных и результаты'!L12-$J$45*$L$45)," ")</f>
        <v> </v>
      </c>
      <c r="L56" s="40" t="str">
        <f>IF(ISNUMBER('Ввод данных и результаты'!M12),IF($J$46="+",LN('Ввод данных и результаты'!M12-$J$45*$L$45),'Ввод данных и результаты'!M12-$J$45*$L$45)," ")</f>
        <v> </v>
      </c>
      <c r="M56" s="40" t="str">
        <f>IF(ISNUMBER('Ввод данных и результаты'!N12),IF($J$46="+",LN('Ввод данных и результаты'!N12-$J$45*$L$45),'Ввод данных и результаты'!N12-$J$45*$L$45)," ")</f>
        <v> </v>
      </c>
      <c r="N56" s="40" t="str">
        <f>IF(ISNUMBER('Ввод данных и результаты'!O12),IF($J$46="+",LN('Ввод данных и результаты'!O12-$J$45*$L$45),'Ввод данных и результаты'!O12-$J$45*$L$45)," ")</f>
        <v> </v>
      </c>
      <c r="O56" s="40" t="str">
        <f>IF(ISNUMBER('Ввод данных и результаты'!P12),IF($J$46="+",LN('Ввод данных и результаты'!P12-$J$45*$L$45),'Ввод данных и результаты'!P12-$J$45*$L$45)," ")</f>
        <v> </v>
      </c>
      <c r="P56" s="40" t="str">
        <f>IF(ISNUMBER('Ввод данных и результаты'!Q12),IF($J$46="+",LN('Ввод данных и результаты'!Q12-$J$45*$L$45),'Ввод данных и результаты'!Q12-$J$45*$L$45)," ")</f>
        <v> </v>
      </c>
      <c r="Q56" s="40" t="str">
        <f>IF(ISNUMBER('Ввод данных и результаты'!R12),IF($J$46="+",LN('Ввод данных и результаты'!R12-$J$45*$L$45),'Ввод данных и результаты'!R12-$J$45*$L$45)," ")</f>
        <v> </v>
      </c>
      <c r="R56" s="40" t="str">
        <f>IF(ISNUMBER('Ввод данных и результаты'!S12),IF($J$46="+",LN('Ввод данных и результаты'!S12-$J$45*$L$45),'Ввод данных и результаты'!S12-$J$45*$L$45)," ")</f>
        <v> </v>
      </c>
      <c r="S56" s="40" t="str">
        <f>IF(ISNUMBER('Ввод данных и результаты'!T12),IF($J$46="+",LN('Ввод данных и результаты'!T12-$J$45*$L$45),'Ввод данных и результаты'!T12-$J$45*$L$45)," ")</f>
        <v> </v>
      </c>
    </row>
    <row r="57" spans="7:19" ht="13.5" thickBot="1">
      <c r="G57" s="15" t="s">
        <v>14</v>
      </c>
      <c r="H57" s="40" t="str">
        <f>IF(ISNUMBER('Ввод данных и результаты'!I13),IF($J$46="+",LN('Ввод данных и результаты'!I13-$J$45*$L$45),'Ввод данных и результаты'!I13-$J$45*$L$45)," ")</f>
        <v> </v>
      </c>
      <c r="I57" s="40" t="str">
        <f>IF(ISNUMBER('Ввод данных и результаты'!J13),IF($J$46="+",LN('Ввод данных и результаты'!J13-$J$45*$L$45),'Ввод данных и результаты'!J13-$J$45*$L$45)," ")</f>
        <v> </v>
      </c>
      <c r="J57" s="40" t="str">
        <f>IF(ISNUMBER('Ввод данных и результаты'!K13),IF($J$46="+",LN('Ввод данных и результаты'!K13-$J$45*$L$45),'Ввод данных и результаты'!K13-$J$45*$L$45)," ")</f>
        <v> </v>
      </c>
      <c r="K57" s="40" t="str">
        <f>IF(ISNUMBER('Ввод данных и результаты'!L13),IF($J$46="+",LN('Ввод данных и результаты'!L13-$J$45*$L$45),'Ввод данных и результаты'!L13-$J$45*$L$45)," ")</f>
        <v> </v>
      </c>
      <c r="L57" s="40" t="str">
        <f>IF(ISNUMBER('Ввод данных и результаты'!M13),IF($J$46="+",LN('Ввод данных и результаты'!M13-$J$45*$L$45),'Ввод данных и результаты'!M13-$J$45*$L$45)," ")</f>
        <v> </v>
      </c>
      <c r="M57" s="40" t="str">
        <f>IF(ISNUMBER('Ввод данных и результаты'!N13),IF($J$46="+",LN('Ввод данных и результаты'!N13-$J$45*$L$45),'Ввод данных и результаты'!N13-$J$45*$L$45)," ")</f>
        <v> </v>
      </c>
      <c r="N57" s="40" t="str">
        <f>IF(ISNUMBER('Ввод данных и результаты'!O13),IF($J$46="+",LN('Ввод данных и результаты'!O13-$J$45*$L$45),'Ввод данных и результаты'!O13-$J$45*$L$45)," ")</f>
        <v> </v>
      </c>
      <c r="O57" s="40" t="str">
        <f>IF(ISNUMBER('Ввод данных и результаты'!P13),IF($J$46="+",LN('Ввод данных и результаты'!P13-$J$45*$L$45),'Ввод данных и результаты'!P13-$J$45*$L$45)," ")</f>
        <v> </v>
      </c>
      <c r="P57" s="40" t="str">
        <f>IF(ISNUMBER('Ввод данных и результаты'!Q13),IF($J$46="+",LN('Ввод данных и результаты'!Q13-$J$45*$L$45),'Ввод данных и результаты'!Q13-$J$45*$L$45)," ")</f>
        <v> </v>
      </c>
      <c r="Q57" s="40" t="str">
        <f>IF(ISNUMBER('Ввод данных и результаты'!R13),IF($J$46="+",LN('Ввод данных и результаты'!R13-$J$45*$L$45),'Ввод данных и результаты'!R13-$J$45*$L$45)," ")</f>
        <v> </v>
      </c>
      <c r="R57" s="40" t="str">
        <f>IF(ISNUMBER('Ввод данных и результаты'!S13),IF($J$46="+",LN('Ввод данных и результаты'!S13-$J$45*$L$45),'Ввод данных и результаты'!S13-$J$45*$L$45)," ")</f>
        <v> </v>
      </c>
      <c r="S57" s="40" t="str">
        <f>IF(ISNUMBER('Ввод данных и результаты'!T13),IF($J$46="+",LN('Ввод данных и результаты'!T13-$J$45*$L$45),'Ввод данных и результаты'!T13-$J$45*$L$45)," ")</f>
        <v> </v>
      </c>
    </row>
    <row r="58" spans="7:19" ht="13.5" thickBot="1">
      <c r="G58" s="15" t="s">
        <v>15</v>
      </c>
      <c r="H58" s="40" t="str">
        <f>IF(ISNUMBER('Ввод данных и результаты'!I14),IF($J$46="+",LN('Ввод данных и результаты'!I14-$J$45*$L$45),'Ввод данных и результаты'!I14-$J$45*$L$45)," ")</f>
        <v> </v>
      </c>
      <c r="I58" s="40" t="str">
        <f>IF(ISNUMBER('Ввод данных и результаты'!J14),IF($J$46="+",LN('Ввод данных и результаты'!J14-$J$45*$L$45),'Ввод данных и результаты'!J14-$J$45*$L$45)," ")</f>
        <v> </v>
      </c>
      <c r="J58" s="40" t="str">
        <f>IF(ISNUMBER('Ввод данных и результаты'!K14),IF($J$46="+",LN('Ввод данных и результаты'!K14-$J$45*$L$45),'Ввод данных и результаты'!K14-$J$45*$L$45)," ")</f>
        <v> </v>
      </c>
      <c r="K58" s="40" t="str">
        <f>IF(ISNUMBER('Ввод данных и результаты'!L14),IF($J$46="+",LN('Ввод данных и результаты'!L14-$J$45*$L$45),'Ввод данных и результаты'!L14-$J$45*$L$45)," ")</f>
        <v> </v>
      </c>
      <c r="L58" s="40" t="str">
        <f>IF(ISNUMBER('Ввод данных и результаты'!M14),IF($J$46="+",LN('Ввод данных и результаты'!M14-$J$45*$L$45),'Ввод данных и результаты'!M14-$J$45*$L$45)," ")</f>
        <v> </v>
      </c>
      <c r="M58" s="40" t="str">
        <f>IF(ISNUMBER('Ввод данных и результаты'!N14),IF($J$46="+",LN('Ввод данных и результаты'!N14-$J$45*$L$45),'Ввод данных и результаты'!N14-$J$45*$L$45)," ")</f>
        <v> </v>
      </c>
      <c r="N58" s="40" t="str">
        <f>IF(ISNUMBER('Ввод данных и результаты'!O14),IF($J$46="+",LN('Ввод данных и результаты'!O14-$J$45*$L$45),'Ввод данных и результаты'!O14-$J$45*$L$45)," ")</f>
        <v> </v>
      </c>
      <c r="O58" s="40" t="str">
        <f>IF(ISNUMBER('Ввод данных и результаты'!P14),IF($J$46="+",LN('Ввод данных и результаты'!P14-$J$45*$L$45),'Ввод данных и результаты'!P14-$J$45*$L$45)," ")</f>
        <v> </v>
      </c>
      <c r="P58" s="40" t="str">
        <f>IF(ISNUMBER('Ввод данных и результаты'!Q14),IF($J$46="+",LN('Ввод данных и результаты'!Q14-$J$45*$L$45),'Ввод данных и результаты'!Q14-$J$45*$L$45)," ")</f>
        <v> </v>
      </c>
      <c r="Q58" s="40" t="str">
        <f>IF(ISNUMBER('Ввод данных и результаты'!R14),IF($J$46="+",LN('Ввод данных и результаты'!R14-$J$45*$L$45),'Ввод данных и результаты'!R14-$J$45*$L$45)," ")</f>
        <v> </v>
      </c>
      <c r="R58" s="40" t="str">
        <f>IF(ISNUMBER('Ввод данных и результаты'!S14),IF($J$46="+",LN('Ввод данных и результаты'!S14-$J$45*$L$45),'Ввод данных и результаты'!S14-$J$45*$L$45)," ")</f>
        <v> </v>
      </c>
      <c r="S58" s="40" t="str">
        <f>IF(ISNUMBER('Ввод данных и результаты'!T14),IF($J$46="+",LN('Ввод данных и результаты'!T14-$J$45*$L$45),'Ввод данных и результаты'!T14-$J$45*$L$45)," ")</f>
        <v> </v>
      </c>
    </row>
    <row r="59" spans="7:19" ht="12.75">
      <c r="G59" s="67"/>
      <c r="H59" s="7" t="e">
        <f aca="true" t="shared" si="5" ref="H59:H66">AVERAGE(H51:I51)</f>
        <v>#DIV/0!</v>
      </c>
      <c r="I59" s="7"/>
      <c r="J59" s="7" t="e">
        <f aca="true" t="shared" si="6" ref="J59:J66">AVERAGE(J51:K51)</f>
        <v>#DIV/0!</v>
      </c>
      <c r="K59" s="7"/>
      <c r="L59" s="7" t="e">
        <f aca="true" t="shared" si="7" ref="L59:L66">AVERAGE(L51:M51)</f>
        <v>#DIV/0!</v>
      </c>
      <c r="M59" s="7"/>
      <c r="N59" s="7" t="e">
        <f aca="true" t="shared" si="8" ref="N59:N66">AVERAGE(N51:O51)</f>
        <v>#DIV/0!</v>
      </c>
      <c r="O59" s="7"/>
      <c r="P59" s="7" t="e">
        <f aca="true" t="shared" si="9" ref="P59:P66">AVERAGE(P51:Q51)</f>
        <v>#DIV/0!</v>
      </c>
      <c r="Q59" s="7"/>
      <c r="R59" s="7" t="e">
        <f aca="true" t="shared" si="10" ref="R59:R66">AVERAGE(R51:S51)</f>
        <v>#DIV/0!</v>
      </c>
      <c r="S59" s="7"/>
    </row>
    <row r="60" spans="7:19" ht="12.75">
      <c r="G60" s="68"/>
      <c r="H60" s="7" t="e">
        <f t="shared" si="5"/>
        <v>#DIV/0!</v>
      </c>
      <c r="I60" s="68"/>
      <c r="J60" s="7" t="e">
        <f t="shared" si="6"/>
        <v>#DIV/0!</v>
      </c>
      <c r="K60" s="68"/>
      <c r="L60" s="7" t="e">
        <f t="shared" si="7"/>
        <v>#DIV/0!</v>
      </c>
      <c r="M60" s="68"/>
      <c r="N60" s="7" t="e">
        <f t="shared" si="8"/>
        <v>#DIV/0!</v>
      </c>
      <c r="O60" s="68"/>
      <c r="P60" s="7" t="e">
        <f t="shared" si="9"/>
        <v>#DIV/0!</v>
      </c>
      <c r="Q60" s="68"/>
      <c r="R60" s="7" t="e">
        <f t="shared" si="10"/>
        <v>#DIV/0!</v>
      </c>
      <c r="S60" s="68"/>
    </row>
    <row r="61" spans="7:19" ht="12.75">
      <c r="G61" s="7"/>
      <c r="H61" s="7" t="e">
        <f t="shared" si="5"/>
        <v>#DIV/0!</v>
      </c>
      <c r="I61" s="7"/>
      <c r="J61" s="7" t="e">
        <f t="shared" si="6"/>
        <v>#DIV/0!</v>
      </c>
      <c r="K61" s="7"/>
      <c r="L61" s="7" t="e">
        <f t="shared" si="7"/>
        <v>#DIV/0!</v>
      </c>
      <c r="M61" s="7"/>
      <c r="N61" s="7" t="e">
        <f t="shared" si="8"/>
        <v>#DIV/0!</v>
      </c>
      <c r="O61" s="7"/>
      <c r="P61" s="7" t="e">
        <f t="shared" si="9"/>
        <v>#DIV/0!</v>
      </c>
      <c r="Q61" s="7"/>
      <c r="R61" s="7" t="e">
        <f t="shared" si="10"/>
        <v>#DIV/0!</v>
      </c>
      <c r="S61" s="7"/>
    </row>
    <row r="62" spans="7:19" ht="12.75">
      <c r="G62" s="7"/>
      <c r="H62" s="7" t="e">
        <f t="shared" si="5"/>
        <v>#DIV/0!</v>
      </c>
      <c r="I62" s="7"/>
      <c r="J62" s="7" t="e">
        <f t="shared" si="6"/>
        <v>#DIV/0!</v>
      </c>
      <c r="K62" s="7"/>
      <c r="L62" s="7" t="e">
        <f t="shared" si="7"/>
        <v>#DIV/0!</v>
      </c>
      <c r="M62" s="7"/>
      <c r="N62" s="7" t="e">
        <f t="shared" si="8"/>
        <v>#DIV/0!</v>
      </c>
      <c r="O62" s="7"/>
      <c r="P62" s="7" t="e">
        <f>AVERAGE(P54:Q54)</f>
        <v>#DIV/0!</v>
      </c>
      <c r="Q62" s="7"/>
      <c r="R62" s="7" t="e">
        <f t="shared" si="10"/>
        <v>#DIV/0!</v>
      </c>
      <c r="S62" s="7"/>
    </row>
    <row r="63" spans="7:19" ht="12.75">
      <c r="G63" s="7"/>
      <c r="H63" s="7" t="e">
        <f t="shared" si="5"/>
        <v>#DIV/0!</v>
      </c>
      <c r="I63" s="7"/>
      <c r="J63" s="7" t="e">
        <f t="shared" si="6"/>
        <v>#DIV/0!</v>
      </c>
      <c r="K63" s="7"/>
      <c r="L63" s="7" t="e">
        <f t="shared" si="7"/>
        <v>#DIV/0!</v>
      </c>
      <c r="M63" s="7"/>
      <c r="N63" s="7" t="e">
        <f t="shared" si="8"/>
        <v>#DIV/0!</v>
      </c>
      <c r="O63" s="7"/>
      <c r="P63" s="7" t="e">
        <f t="shared" si="9"/>
        <v>#DIV/0!</v>
      </c>
      <c r="Q63" s="7"/>
      <c r="R63" s="7" t="e">
        <f t="shared" si="10"/>
        <v>#DIV/0!</v>
      </c>
      <c r="S63" s="7"/>
    </row>
    <row r="64" spans="7:19" ht="12.75">
      <c r="G64" s="7"/>
      <c r="H64" s="7" t="e">
        <f t="shared" si="5"/>
        <v>#DIV/0!</v>
      </c>
      <c r="I64" s="7"/>
      <c r="J64" s="7" t="e">
        <f t="shared" si="6"/>
        <v>#DIV/0!</v>
      </c>
      <c r="K64" s="7"/>
      <c r="L64" s="7" t="e">
        <f t="shared" si="7"/>
        <v>#DIV/0!</v>
      </c>
      <c r="M64" s="7"/>
      <c r="N64" s="7" t="e">
        <f t="shared" si="8"/>
        <v>#DIV/0!</v>
      </c>
      <c r="O64" s="7"/>
      <c r="P64" s="7" t="e">
        <f t="shared" si="9"/>
        <v>#DIV/0!</v>
      </c>
      <c r="Q64" s="7"/>
      <c r="R64" s="7" t="e">
        <f t="shared" si="10"/>
        <v>#DIV/0!</v>
      </c>
      <c r="S64" s="7"/>
    </row>
    <row r="65" spans="8:18" ht="12.75">
      <c r="H65" s="7" t="e">
        <f t="shared" si="5"/>
        <v>#DIV/0!</v>
      </c>
      <c r="J65" s="7" t="e">
        <f t="shared" si="6"/>
        <v>#DIV/0!</v>
      </c>
      <c r="L65" s="7" t="e">
        <f t="shared" si="7"/>
        <v>#DIV/0!</v>
      </c>
      <c r="N65" s="7" t="e">
        <f t="shared" si="8"/>
        <v>#DIV/0!</v>
      </c>
      <c r="P65" s="7" t="e">
        <f t="shared" si="9"/>
        <v>#DIV/0!</v>
      </c>
      <c r="R65" s="7" t="e">
        <f t="shared" si="10"/>
        <v>#DIV/0!</v>
      </c>
    </row>
    <row r="66" spans="8:18" ht="12.75">
      <c r="H66" s="7" t="e">
        <f t="shared" si="5"/>
        <v>#DIV/0!</v>
      </c>
      <c r="J66" s="7" t="e">
        <f t="shared" si="6"/>
        <v>#DIV/0!</v>
      </c>
      <c r="L66" s="7" t="e">
        <f t="shared" si="7"/>
        <v>#DIV/0!</v>
      </c>
      <c r="N66" s="7" t="e">
        <f t="shared" si="8"/>
        <v>#DIV/0!</v>
      </c>
      <c r="P66" s="7" t="e">
        <f t="shared" si="9"/>
        <v>#DIV/0!</v>
      </c>
      <c r="R66" s="7" t="e">
        <f t="shared" si="10"/>
        <v>#DIV/0!</v>
      </c>
    </row>
    <row r="70" spans="7:33" ht="13.5" thickBot="1">
      <c r="G70" s="41"/>
      <c r="H70" s="42">
        <v>1</v>
      </c>
      <c r="I70" s="42">
        <v>2</v>
      </c>
      <c r="J70" s="42">
        <v>3</v>
      </c>
      <c r="K70" s="42">
        <v>4</v>
      </c>
      <c r="L70" s="42">
        <v>5</v>
      </c>
      <c r="M70" s="42">
        <v>6</v>
      </c>
      <c r="N70" s="42">
        <v>7</v>
      </c>
      <c r="O70" s="42">
        <v>8</v>
      </c>
      <c r="P70" s="42">
        <v>9</v>
      </c>
      <c r="Q70" s="42">
        <v>10</v>
      </c>
      <c r="R70" s="42">
        <v>11</v>
      </c>
      <c r="S70" s="42">
        <v>12</v>
      </c>
      <c r="U70" s="41"/>
      <c r="V70" s="42">
        <v>1</v>
      </c>
      <c r="W70" s="42">
        <v>2</v>
      </c>
      <c r="X70" s="42">
        <v>3</v>
      </c>
      <c r="Y70" s="42">
        <v>4</v>
      </c>
      <c r="Z70" s="42">
        <v>5</v>
      </c>
      <c r="AA70" s="42">
        <v>6</v>
      </c>
      <c r="AB70" s="42">
        <v>7</v>
      </c>
      <c r="AC70" s="42">
        <v>8</v>
      </c>
      <c r="AD70" s="42">
        <v>9</v>
      </c>
      <c r="AE70" s="42">
        <v>10</v>
      </c>
      <c r="AF70" s="42">
        <v>11</v>
      </c>
      <c r="AG70" s="42">
        <v>12</v>
      </c>
    </row>
    <row r="71" spans="7:33" ht="13.5" thickBot="1">
      <c r="G71" s="9" t="s">
        <v>8</v>
      </c>
      <c r="H71" s="28" t="e">
        <f>Рабочий!$G$8*POWER((H59),5)+Рабочий!$G$9*POWER((H59),4)+Рабочий!$G$10*POWER((H59),3)+Рабочий!$G$11*POWER((H59),2)+Рабочий!$G$12*(H59)+Рабочий!$G$13</f>
        <v>#DIV/0!</v>
      </c>
      <c r="I71" s="28"/>
      <c r="J71" s="28" t="e">
        <f>Рабочий!$G$8*POWER((J59),5)+Рабочий!$G$9*POWER((J59),4)+Рабочий!$G$10*POWER((J59),3)+Рабочий!$G$11*POWER((J59),2)+Рабочий!$G$12*(J59)+Рабочий!$G$13</f>
        <v>#DIV/0!</v>
      </c>
      <c r="K71" s="28"/>
      <c r="L71" s="28" t="e">
        <f>Рабочий!$G$8*POWER((L59),5)+Рабочий!$G$9*POWER((L59),4)+Рабочий!$G$10*POWER((L59),3)+Рабочий!$G$11*POWER((L59),2)+Рабочий!$G$12*(L59)+Рабочий!$G$13</f>
        <v>#DIV/0!</v>
      </c>
      <c r="M71" s="28"/>
      <c r="N71" s="28" t="e">
        <f>Рабочий!$G$8*POWER((N59),5)+Рабочий!$G$9*POWER((N59),4)+Рабочий!$G$10*POWER((N59),3)+Рабочий!$G$11*POWER((N59),2)+Рабочий!$G$12*(N59)+Рабочий!$G$13</f>
        <v>#DIV/0!</v>
      </c>
      <c r="O71" s="28"/>
      <c r="P71" s="28" t="e">
        <f>Рабочий!$G$8*POWER((P59),5)+Рабочий!$G$9*POWER((P59),4)+Рабочий!$G$10*POWER((P59),3)+Рабочий!$G$11*POWER((P59),2)+Рабочий!$G$12*(P59)+Рабочий!$G$13</f>
        <v>#DIV/0!</v>
      </c>
      <c r="Q71" s="28"/>
      <c r="R71" s="28" t="e">
        <f>Рабочий!$G$8*POWER((R59),5)+Рабочий!$G$9*POWER((R59),4)+Рабочий!$G$10*POWER((R59),3)+Рабочий!$G$11*POWER((R59),2)+Рабочий!$G$12*(R59)+Рабочий!$G$13</f>
        <v>#DIV/0!</v>
      </c>
      <c r="S71" s="28"/>
      <c r="U71" s="9" t="s">
        <v>8</v>
      </c>
      <c r="V71" s="40" t="str">
        <f aca="true" t="shared" si="11" ref="V71:V78">IF(ISNUMBER(H84),IF(H84&lt;0,0,H84)," ")</f>
        <v> </v>
      </c>
      <c r="W71" s="40"/>
      <c r="X71" s="40" t="str">
        <f aca="true" t="shared" si="12" ref="X71:X78">IF(ISNUMBER(J84),IF(J84&lt;0,0,J84)," ")</f>
        <v> </v>
      </c>
      <c r="Y71" s="40"/>
      <c r="Z71" s="40" t="str">
        <f aca="true" t="shared" si="13" ref="Z71:Z78">IF(ISNUMBER(L84),IF(L84&lt;0,0,L84)," ")</f>
        <v> </v>
      </c>
      <c r="AA71" s="40"/>
      <c r="AB71" s="40" t="str">
        <f aca="true" t="shared" si="14" ref="AB71:AB78">IF(ISNUMBER(N84),IF(N84&lt;0,0,N84)," ")</f>
        <v> </v>
      </c>
      <c r="AC71" s="40"/>
      <c r="AD71" s="40" t="str">
        <f aca="true" t="shared" si="15" ref="AD71:AD78">IF(ISNUMBER(P84),IF(P84&lt;0,0,P84)," ")</f>
        <v> </v>
      </c>
      <c r="AE71" s="40"/>
      <c r="AF71" s="40" t="str">
        <f aca="true" t="shared" si="16" ref="AF71:AF78">IF(ISNUMBER(R84),IF(R84&lt;0,0,R84)," ")</f>
        <v> </v>
      </c>
      <c r="AG71" s="40"/>
    </row>
    <row r="72" spans="7:33" ht="13.5" thickBot="1">
      <c r="G72" s="9" t="s">
        <v>9</v>
      </c>
      <c r="H72" s="28" t="e">
        <f>Рабочий!$G$8*POWER((H60),5)+Рабочий!$G$9*POWER((H60),4)+Рабочий!$G$10*POWER((H60),3)+Рабочий!$G$11*POWER((H60),2)+Рабочий!$G$12*(H60)+Рабочий!$G$13</f>
        <v>#DIV/0!</v>
      </c>
      <c r="I72" s="28"/>
      <c r="J72" s="28" t="e">
        <f>Рабочий!$G$8*POWER((J60),5)+Рабочий!$G$9*POWER((J60),4)+Рабочий!$G$10*POWER((J60),3)+Рабочий!$G$11*POWER((J60),2)+Рабочий!$G$12*(J60)+Рабочий!$G$13</f>
        <v>#DIV/0!</v>
      </c>
      <c r="K72" s="28"/>
      <c r="L72" s="28" t="e">
        <f>Рабочий!$G$8*POWER((L60),5)+Рабочий!$G$9*POWER((L60),4)+Рабочий!$G$10*POWER((L60),3)+Рабочий!$G$11*POWER((L60),2)+Рабочий!$G$12*(L60)+Рабочий!$G$13</f>
        <v>#DIV/0!</v>
      </c>
      <c r="M72" s="28"/>
      <c r="N72" s="28" t="e">
        <f>Рабочий!$G$8*POWER((N60),5)+Рабочий!$G$9*POWER((N60),4)+Рабочий!$G$10*POWER((N60),3)+Рабочий!$G$11*POWER((N60),2)+Рабочий!$G$12*(N60)+Рабочий!$G$13</f>
        <v>#DIV/0!</v>
      </c>
      <c r="O72" s="28"/>
      <c r="P72" s="28" t="e">
        <f>Рабочий!$G$8*POWER((P60),5)+Рабочий!$G$9*POWER((P60),4)+Рабочий!$G$10*POWER((P60),3)+Рабочий!$G$11*POWER((P60),2)+Рабочий!$G$12*(P60)+Рабочий!$G$13</f>
        <v>#DIV/0!</v>
      </c>
      <c r="Q72" s="28"/>
      <c r="R72" s="28" t="e">
        <f>Рабочий!$G$8*POWER((R60),5)+Рабочий!$G$9*POWER((R60),4)+Рабочий!$G$10*POWER((R60),3)+Рабочий!$G$11*POWER((R60),2)+Рабочий!$G$12*(R60)+Рабочий!$G$13</f>
        <v>#DIV/0!</v>
      </c>
      <c r="S72" s="28"/>
      <c r="U72" s="9" t="s">
        <v>9</v>
      </c>
      <c r="V72" s="40" t="str">
        <f t="shared" si="11"/>
        <v> </v>
      </c>
      <c r="W72" s="40"/>
      <c r="X72" s="40" t="str">
        <f t="shared" si="12"/>
        <v> </v>
      </c>
      <c r="Y72" s="40"/>
      <c r="Z72" s="40" t="str">
        <f t="shared" si="13"/>
        <v> </v>
      </c>
      <c r="AA72" s="40"/>
      <c r="AB72" s="40" t="str">
        <f t="shared" si="14"/>
        <v> </v>
      </c>
      <c r="AC72" s="40"/>
      <c r="AD72" s="40" t="str">
        <f t="shared" si="15"/>
        <v> </v>
      </c>
      <c r="AE72" s="40"/>
      <c r="AF72" s="40" t="str">
        <f t="shared" si="16"/>
        <v> </v>
      </c>
      <c r="AG72" s="40"/>
    </row>
    <row r="73" spans="7:33" ht="13.5" thickBot="1">
      <c r="G73" s="9" t="s">
        <v>10</v>
      </c>
      <c r="H73" s="28" t="e">
        <f>Рабочий!$G$8*POWER((H61),5)+Рабочий!$G$9*POWER((H61),4)+Рабочий!$G$10*POWER((H61),3)+Рабочий!$G$11*POWER((H61),2)+Рабочий!$G$12*(H61)+Рабочий!$G$13</f>
        <v>#DIV/0!</v>
      </c>
      <c r="I73" s="28"/>
      <c r="J73" s="28" t="e">
        <f>Рабочий!$G$8*POWER((J61),5)+Рабочий!$G$9*POWER((J61),4)+Рабочий!$G$10*POWER((J61),3)+Рабочий!$G$11*POWER((J61),2)+Рабочий!$G$12*(J61)+Рабочий!$G$13</f>
        <v>#DIV/0!</v>
      </c>
      <c r="K73" s="28"/>
      <c r="L73" s="28" t="e">
        <f>Рабочий!$G$8*POWER((L61),5)+Рабочий!$G$9*POWER((L61),4)+Рабочий!$G$10*POWER((L61),3)+Рабочий!$G$11*POWER((L61),2)+Рабочий!$G$12*(L61)+Рабочий!$G$13</f>
        <v>#DIV/0!</v>
      </c>
      <c r="M73" s="28"/>
      <c r="N73" s="28" t="e">
        <f>Рабочий!$G$8*POWER((N61),5)+Рабочий!$G$9*POWER((N61),4)+Рабочий!$G$10*POWER((N61),3)+Рабочий!$G$11*POWER((N61),2)+Рабочий!$G$12*(N61)+Рабочий!$G$13</f>
        <v>#DIV/0!</v>
      </c>
      <c r="O73" s="28"/>
      <c r="P73" s="28" t="e">
        <f>Рабочий!$G$8*POWER((P61),5)+Рабочий!$G$9*POWER((P61),4)+Рабочий!$G$10*POWER((P61),3)+Рабочий!$G$11*POWER((P61),2)+Рабочий!$G$12*(P61)+Рабочий!$G$13</f>
        <v>#DIV/0!</v>
      </c>
      <c r="Q73" s="28"/>
      <c r="R73" s="28" t="e">
        <f>Рабочий!$G$8*POWER((R61),5)+Рабочий!$G$9*POWER((R61),4)+Рабочий!$G$10*POWER((R61),3)+Рабочий!$G$11*POWER((R61),2)+Рабочий!$G$12*(R61)+Рабочий!$G$13</f>
        <v>#DIV/0!</v>
      </c>
      <c r="S73" s="28"/>
      <c r="U73" s="9" t="s">
        <v>10</v>
      </c>
      <c r="V73" s="40" t="str">
        <f t="shared" si="11"/>
        <v> </v>
      </c>
      <c r="W73" s="40"/>
      <c r="X73" s="40" t="str">
        <f t="shared" si="12"/>
        <v> </v>
      </c>
      <c r="Y73" s="40"/>
      <c r="Z73" s="40" t="str">
        <f t="shared" si="13"/>
        <v> </v>
      </c>
      <c r="AA73" s="40"/>
      <c r="AB73" s="40" t="str">
        <f t="shared" si="14"/>
        <v> </v>
      </c>
      <c r="AC73" s="40"/>
      <c r="AD73" s="40" t="str">
        <f t="shared" si="15"/>
        <v> </v>
      </c>
      <c r="AE73" s="40"/>
      <c r="AF73" s="40" t="str">
        <f t="shared" si="16"/>
        <v> </v>
      </c>
      <c r="AG73" s="40"/>
    </row>
    <row r="74" spans="7:33" ht="13.5" thickBot="1">
      <c r="G74" s="9" t="s">
        <v>11</v>
      </c>
      <c r="H74" s="28" t="e">
        <f>Рабочий!$G$8*POWER((H62),5)+Рабочий!$G$9*POWER((H62),4)+Рабочий!$G$10*POWER((H62),3)+Рабочий!$G$11*POWER((H62),2)+Рабочий!$G$12*(H62)+Рабочий!$G$13</f>
        <v>#DIV/0!</v>
      </c>
      <c r="I74" s="28"/>
      <c r="J74" s="28" t="e">
        <f>Рабочий!$G$8*POWER((J62),5)+Рабочий!$G$9*POWER((J62),4)+Рабочий!$G$10*POWER((J62),3)+Рабочий!$G$11*POWER((J62),2)+Рабочий!$G$12*(J62)+Рабочий!$G$13</f>
        <v>#DIV/0!</v>
      </c>
      <c r="K74" s="28"/>
      <c r="L74" s="28" t="e">
        <f>Рабочий!$G$8*POWER((L62),5)+Рабочий!$G$9*POWER((L62),4)+Рабочий!$G$10*POWER((L62),3)+Рабочий!$G$11*POWER((L62),2)+Рабочий!$G$12*(L62)+Рабочий!$G$13</f>
        <v>#DIV/0!</v>
      </c>
      <c r="M74" s="28"/>
      <c r="N74" s="28" t="e">
        <f>Рабочий!$G$8*POWER((N62),5)+Рабочий!$G$9*POWER((N62),4)+Рабочий!$G$10*POWER((N62),3)+Рабочий!$G$11*POWER((N62),2)+Рабочий!$G$12*(N62)+Рабочий!$G$13</f>
        <v>#DIV/0!</v>
      </c>
      <c r="O74" s="28"/>
      <c r="P74" s="28" t="e">
        <f>Рабочий!$G$8*POWER((P62),5)+Рабочий!$G$9*POWER((P62),4)+Рабочий!$G$10*POWER((P62),3)+Рабочий!$G$11*POWER((P62),2)+Рабочий!$G$12*(P62)+Рабочий!$G$13</f>
        <v>#DIV/0!</v>
      </c>
      <c r="Q74" s="28"/>
      <c r="R74" s="28" t="e">
        <f>Рабочий!$G$8*POWER((R62),5)+Рабочий!$G$9*POWER((R62),4)+Рабочий!$G$10*POWER((R62),3)+Рабочий!$G$11*POWER((R62),2)+Рабочий!$G$12*(R62)+Рабочий!$G$13</f>
        <v>#DIV/0!</v>
      </c>
      <c r="S74" s="28"/>
      <c r="U74" s="9" t="s">
        <v>11</v>
      </c>
      <c r="V74" s="40" t="str">
        <f t="shared" si="11"/>
        <v> </v>
      </c>
      <c r="W74" s="40"/>
      <c r="X74" s="40" t="str">
        <f t="shared" si="12"/>
        <v> </v>
      </c>
      <c r="Y74" s="40"/>
      <c r="Z74" s="40" t="str">
        <f t="shared" si="13"/>
        <v> </v>
      </c>
      <c r="AA74" s="40"/>
      <c r="AB74" s="40" t="str">
        <f t="shared" si="14"/>
        <v> </v>
      </c>
      <c r="AC74" s="40"/>
      <c r="AD74" s="40" t="str">
        <f t="shared" si="15"/>
        <v> </v>
      </c>
      <c r="AE74" s="40"/>
      <c r="AF74" s="40" t="str">
        <f t="shared" si="16"/>
        <v> </v>
      </c>
      <c r="AG74" s="40"/>
    </row>
    <row r="75" spans="7:33" ht="13.5" thickBot="1">
      <c r="G75" s="9" t="s">
        <v>12</v>
      </c>
      <c r="H75" s="28" t="e">
        <f>Рабочий!$G$8*POWER((H63),5)+Рабочий!$G$9*POWER((H63),4)+Рабочий!$G$10*POWER((H63),3)+Рабочий!$G$11*POWER((H63),2)+Рабочий!$G$12*(H63)+Рабочий!$G$13</f>
        <v>#DIV/0!</v>
      </c>
      <c r="I75" s="28"/>
      <c r="J75" s="28" t="e">
        <f>Рабочий!$G$8*POWER((J63),5)+Рабочий!$G$9*POWER((J63),4)+Рабочий!$G$10*POWER((J63),3)+Рабочий!$G$11*POWER((J63),2)+Рабочий!$G$12*(J63)+Рабочий!$G$13</f>
        <v>#DIV/0!</v>
      </c>
      <c r="K75" s="28"/>
      <c r="L75" s="28" t="e">
        <f>Рабочий!$G$8*POWER((L63),5)+Рабочий!$G$9*POWER((L63),4)+Рабочий!$G$10*POWER((L63),3)+Рабочий!$G$11*POWER((L63),2)+Рабочий!$G$12*(L63)+Рабочий!$G$13</f>
        <v>#DIV/0!</v>
      </c>
      <c r="M75" s="28"/>
      <c r="N75" s="28" t="e">
        <f>Рабочий!$G$8*POWER((N63),5)+Рабочий!$G$9*POWER((N63),4)+Рабочий!$G$10*POWER((N63),3)+Рабочий!$G$11*POWER((N63),2)+Рабочий!$G$12*(N63)+Рабочий!$G$13</f>
        <v>#DIV/0!</v>
      </c>
      <c r="O75" s="28"/>
      <c r="P75" s="28" t="e">
        <f>Рабочий!$G$8*POWER((P63),5)+Рабочий!$G$9*POWER((P63),4)+Рабочий!$G$10*POWER((P63),3)+Рабочий!$G$11*POWER((P63),2)+Рабочий!$G$12*(P63)+Рабочий!$G$13</f>
        <v>#DIV/0!</v>
      </c>
      <c r="Q75" s="28"/>
      <c r="R75" s="28" t="e">
        <f>Рабочий!$G$8*POWER((R63),5)+Рабочий!$G$9*POWER((R63),4)+Рабочий!$G$10*POWER((R63),3)+Рабочий!$G$11*POWER((R63),2)+Рабочий!$G$12*(R63)+Рабочий!$G$13</f>
        <v>#DIV/0!</v>
      </c>
      <c r="S75" s="28"/>
      <c r="U75" s="9" t="s">
        <v>12</v>
      </c>
      <c r="V75" s="40" t="str">
        <f t="shared" si="11"/>
        <v> </v>
      </c>
      <c r="W75" s="40"/>
      <c r="X75" s="40" t="str">
        <f t="shared" si="12"/>
        <v> </v>
      </c>
      <c r="Y75" s="40"/>
      <c r="Z75" s="40" t="str">
        <f t="shared" si="13"/>
        <v> </v>
      </c>
      <c r="AA75" s="40"/>
      <c r="AB75" s="40" t="str">
        <f t="shared" si="14"/>
        <v> </v>
      </c>
      <c r="AC75" s="40"/>
      <c r="AD75" s="40" t="str">
        <f t="shared" si="15"/>
        <v> </v>
      </c>
      <c r="AE75" s="40"/>
      <c r="AF75" s="40" t="str">
        <f t="shared" si="16"/>
        <v> </v>
      </c>
      <c r="AG75" s="40"/>
    </row>
    <row r="76" spans="7:33" ht="13.5" thickBot="1">
      <c r="G76" s="9" t="s">
        <v>13</v>
      </c>
      <c r="H76" s="28" t="e">
        <f>Рабочий!$G$8*POWER((H64),5)+Рабочий!$G$9*POWER((H64),4)+Рабочий!$G$10*POWER((H64),3)+Рабочий!$G$11*POWER((H64),2)+Рабочий!$G$12*(H64)+Рабочий!$G$13</f>
        <v>#DIV/0!</v>
      </c>
      <c r="I76" s="28"/>
      <c r="J76" s="28" t="e">
        <f>Рабочий!$G$8*POWER((J64),5)+Рабочий!$G$9*POWER((J64),4)+Рабочий!$G$10*POWER((J64),3)+Рабочий!$G$11*POWER((J64),2)+Рабочий!$G$12*(J64)+Рабочий!$G$13</f>
        <v>#DIV/0!</v>
      </c>
      <c r="K76" s="28"/>
      <c r="L76" s="28" t="e">
        <f>Рабочий!$G$8*POWER((L64),5)+Рабочий!$G$9*POWER((L64),4)+Рабочий!$G$10*POWER((L64),3)+Рабочий!$G$11*POWER((L64),2)+Рабочий!$G$12*(L64)+Рабочий!$G$13</f>
        <v>#DIV/0!</v>
      </c>
      <c r="M76" s="28"/>
      <c r="N76" s="28" t="e">
        <f>Рабочий!$G$8*POWER((N64),5)+Рабочий!$G$9*POWER((N64),4)+Рабочий!$G$10*POWER((N64),3)+Рабочий!$G$11*POWER((N64),2)+Рабочий!$G$12*(N64)+Рабочий!$G$13</f>
        <v>#DIV/0!</v>
      </c>
      <c r="O76" s="28"/>
      <c r="P76" s="28" t="e">
        <f>Рабочий!$G$8*POWER((P64),5)+Рабочий!$G$9*POWER((P64),4)+Рабочий!$G$10*POWER((P64),3)+Рабочий!$G$11*POWER((P64),2)+Рабочий!$G$12*(P64)+Рабочий!$G$13</f>
        <v>#DIV/0!</v>
      </c>
      <c r="Q76" s="28"/>
      <c r="R76" s="28" t="e">
        <f>Рабочий!$G$8*POWER((R64),5)+Рабочий!$G$9*POWER((R64),4)+Рабочий!$G$10*POWER((R64),3)+Рабочий!$G$11*POWER((R64),2)+Рабочий!$G$12*(R64)+Рабочий!$G$13</f>
        <v>#DIV/0!</v>
      </c>
      <c r="S76" s="28"/>
      <c r="U76" s="9" t="s">
        <v>13</v>
      </c>
      <c r="V76" s="40" t="str">
        <f t="shared" si="11"/>
        <v> </v>
      </c>
      <c r="W76" s="40"/>
      <c r="X76" s="40" t="str">
        <f t="shared" si="12"/>
        <v> </v>
      </c>
      <c r="Y76" s="40"/>
      <c r="Z76" s="40" t="str">
        <f t="shared" si="13"/>
        <v> </v>
      </c>
      <c r="AA76" s="40"/>
      <c r="AB76" s="40" t="str">
        <f t="shared" si="14"/>
        <v> </v>
      </c>
      <c r="AC76" s="40"/>
      <c r="AD76" s="40" t="str">
        <f t="shared" si="15"/>
        <v> </v>
      </c>
      <c r="AE76" s="40"/>
      <c r="AF76" s="40" t="str">
        <f t="shared" si="16"/>
        <v> </v>
      </c>
      <c r="AG76" s="40"/>
    </row>
    <row r="77" spans="7:33" ht="13.5" thickBot="1">
      <c r="G77" s="9" t="s">
        <v>14</v>
      </c>
      <c r="H77" s="28" t="e">
        <f>Рабочий!$G$8*POWER((H65),5)+Рабочий!$G$9*POWER((H65),4)+Рабочий!$G$10*POWER((H65),3)+Рабочий!$G$11*POWER((H65),2)+Рабочий!$G$12*(H65)+Рабочий!$G$13</f>
        <v>#DIV/0!</v>
      </c>
      <c r="I77" s="28"/>
      <c r="J77" s="28" t="e">
        <f>Рабочий!$G$8*POWER((J65),5)+Рабочий!$G$9*POWER((J65),4)+Рабочий!$G$10*POWER((J65),3)+Рабочий!$G$11*POWER((J65),2)+Рабочий!$G$12*(J65)+Рабочий!$G$13</f>
        <v>#DIV/0!</v>
      </c>
      <c r="K77" s="28"/>
      <c r="L77" s="28" t="e">
        <f>Рабочий!$G$8*POWER((L65),5)+Рабочий!$G$9*POWER((L65),4)+Рабочий!$G$10*POWER((L65),3)+Рабочий!$G$11*POWER((L65),2)+Рабочий!$G$12*(L65)+Рабочий!$G$13</f>
        <v>#DIV/0!</v>
      </c>
      <c r="M77" s="28"/>
      <c r="N77" s="28" t="e">
        <f>Рабочий!$G$8*POWER((N65),5)+Рабочий!$G$9*POWER((N65),4)+Рабочий!$G$10*POWER((N65),3)+Рабочий!$G$11*POWER((N65),2)+Рабочий!$G$12*(N65)+Рабочий!$G$13</f>
        <v>#DIV/0!</v>
      </c>
      <c r="O77" s="28"/>
      <c r="P77" s="28" t="e">
        <f>Рабочий!$G$8*POWER((P65),5)+Рабочий!$G$9*POWER((P65),4)+Рабочий!$G$10*POWER((P65),3)+Рабочий!$G$11*POWER((P65),2)+Рабочий!$G$12*(P65)+Рабочий!$G$13</f>
        <v>#DIV/0!</v>
      </c>
      <c r="Q77" s="28"/>
      <c r="R77" s="28" t="e">
        <f>Рабочий!$G$8*POWER((R65),5)+Рабочий!$G$9*POWER((R65),4)+Рабочий!$G$10*POWER((R65),3)+Рабочий!$G$11*POWER((R65),2)+Рабочий!$G$12*(R65)+Рабочий!$G$13</f>
        <v>#DIV/0!</v>
      </c>
      <c r="S77" s="28"/>
      <c r="U77" s="9" t="s">
        <v>14</v>
      </c>
      <c r="V77" s="40" t="str">
        <f t="shared" si="11"/>
        <v> </v>
      </c>
      <c r="W77" s="40"/>
      <c r="X77" s="40" t="str">
        <f t="shared" si="12"/>
        <v> </v>
      </c>
      <c r="Y77" s="40"/>
      <c r="Z77" s="40" t="str">
        <f t="shared" si="13"/>
        <v> </v>
      </c>
      <c r="AA77" s="40"/>
      <c r="AB77" s="40" t="str">
        <f t="shared" si="14"/>
        <v> </v>
      </c>
      <c r="AC77" s="40"/>
      <c r="AD77" s="40" t="str">
        <f t="shared" si="15"/>
        <v> </v>
      </c>
      <c r="AE77" s="40"/>
      <c r="AF77" s="40" t="str">
        <f t="shared" si="16"/>
        <v> </v>
      </c>
      <c r="AG77" s="40"/>
    </row>
    <row r="78" spans="7:33" ht="13.5" thickBot="1">
      <c r="G78" s="9" t="s">
        <v>15</v>
      </c>
      <c r="H78" s="28" t="e">
        <f>Рабочий!$G$8*POWER((H66),5)+Рабочий!$G$9*POWER((H66),4)+Рабочий!$G$10*POWER((H66),3)+Рабочий!$G$11*POWER((H66),2)+Рабочий!$G$12*(H66)+Рабочий!$G$13</f>
        <v>#DIV/0!</v>
      </c>
      <c r="I78" s="28"/>
      <c r="J78" s="28" t="e">
        <f>Рабочий!$G$8*POWER((J66),5)+Рабочий!$G$9*POWER((J66),4)+Рабочий!$G$10*POWER((J66),3)+Рабочий!$G$11*POWER((J66),2)+Рабочий!$G$12*(J66)+Рабочий!$G$13</f>
        <v>#DIV/0!</v>
      </c>
      <c r="K78" s="28"/>
      <c r="L78" s="28" t="e">
        <f>Рабочий!$G$8*POWER((L66),5)+Рабочий!$G$9*POWER((L66),4)+Рабочий!$G$10*POWER((L66),3)+Рабочий!$G$11*POWER((L66),2)+Рабочий!$G$12*(L66)+Рабочий!$G$13</f>
        <v>#DIV/0!</v>
      </c>
      <c r="M78" s="28"/>
      <c r="N78" s="28" t="e">
        <f>Рабочий!$G$8*POWER((N66),5)+Рабочий!$G$9*POWER((N66),4)+Рабочий!$G$10*POWER((N66),3)+Рабочий!$G$11*POWER((N66),2)+Рабочий!$G$12*(N66)+Рабочий!$G$13</f>
        <v>#DIV/0!</v>
      </c>
      <c r="O78" s="28"/>
      <c r="P78" s="28" t="e">
        <f>Рабочий!$G$8*POWER((P66),5)+Рабочий!$G$9*POWER((P66),4)+Рабочий!$G$10*POWER((P66),3)+Рабочий!$G$11*POWER((P66),2)+Рабочий!$G$12*(P66)+Рабочий!$G$13</f>
        <v>#DIV/0!</v>
      </c>
      <c r="Q78" s="28"/>
      <c r="R78" s="28" t="e">
        <f>Рабочий!$G$8*POWER((R66),5)+Рабочий!$G$9*POWER((R66),4)+Рабочий!$G$10*POWER((R66),3)+Рабочий!$G$11*POWER((R66),2)+Рабочий!$G$12*(R66)+Рабочий!$G$13</f>
        <v>#DIV/0!</v>
      </c>
      <c r="S78" s="28"/>
      <c r="U78" s="9" t="s">
        <v>15</v>
      </c>
      <c r="V78" s="40" t="str">
        <f t="shared" si="11"/>
        <v> </v>
      </c>
      <c r="W78" s="40"/>
      <c r="X78" s="40" t="str">
        <f t="shared" si="12"/>
        <v> </v>
      </c>
      <c r="Y78" s="40"/>
      <c r="Z78" s="40" t="str">
        <f t="shared" si="13"/>
        <v> </v>
      </c>
      <c r="AA78" s="40"/>
      <c r="AB78" s="40" t="str">
        <f t="shared" si="14"/>
        <v> </v>
      </c>
      <c r="AC78" s="40"/>
      <c r="AD78" s="40" t="str">
        <f t="shared" si="15"/>
        <v> </v>
      </c>
      <c r="AE78" s="40"/>
      <c r="AF78" s="40" t="str">
        <f t="shared" si="16"/>
        <v> </v>
      </c>
      <c r="AG78" s="40"/>
    </row>
    <row r="80" ht="12.75">
      <c r="H80" t="s">
        <v>58</v>
      </c>
    </row>
    <row r="81" spans="8:10" ht="12.75">
      <c r="H81" t="s">
        <v>61</v>
      </c>
      <c r="J81" t="s">
        <v>62</v>
      </c>
    </row>
    <row r="83" spans="7:33" ht="13.5" thickBot="1">
      <c r="G83" s="41"/>
      <c r="H83" s="42">
        <v>1</v>
      </c>
      <c r="I83" s="42">
        <v>2</v>
      </c>
      <c r="J83" s="42">
        <v>3</v>
      </c>
      <c r="K83" s="42">
        <v>4</v>
      </c>
      <c r="L83" s="42">
        <v>5</v>
      </c>
      <c r="M83" s="42">
        <v>6</v>
      </c>
      <c r="N83" s="42">
        <v>7</v>
      </c>
      <c r="O83" s="42">
        <v>8</v>
      </c>
      <c r="P83" s="42">
        <v>9</v>
      </c>
      <c r="Q83" s="42">
        <v>10</v>
      </c>
      <c r="R83" s="42">
        <v>11</v>
      </c>
      <c r="S83" s="42">
        <v>12</v>
      </c>
      <c r="U83" s="41"/>
      <c r="V83" s="42">
        <v>1</v>
      </c>
      <c r="W83" s="42">
        <v>2</v>
      </c>
      <c r="X83" s="42">
        <v>3</v>
      </c>
      <c r="Y83" s="42">
        <v>4</v>
      </c>
      <c r="Z83" s="42">
        <v>5</v>
      </c>
      <c r="AA83" s="42">
        <v>6</v>
      </c>
      <c r="AB83" s="42">
        <v>7</v>
      </c>
      <c r="AC83" s="42">
        <v>8</v>
      </c>
      <c r="AD83" s="42">
        <v>9</v>
      </c>
      <c r="AE83" s="42">
        <v>10</v>
      </c>
      <c r="AF83" s="42">
        <v>11</v>
      </c>
      <c r="AG83" s="42">
        <v>12</v>
      </c>
    </row>
    <row r="84" spans="7:33" ht="13.5" thickBot="1">
      <c r="G84" s="9" t="s">
        <v>8</v>
      </c>
      <c r="H84" s="40" t="str">
        <f aca="true" t="shared" si="17" ref="H84:S84">IF(ISNUMBER(H71),IF($J$81="+",LN(H71),H71)," ")</f>
        <v> </v>
      </c>
      <c r="I84" s="40" t="str">
        <f t="shared" si="17"/>
        <v> </v>
      </c>
      <c r="J84" s="40" t="str">
        <f t="shared" si="17"/>
        <v> </v>
      </c>
      <c r="K84" s="40" t="str">
        <f t="shared" si="17"/>
        <v> </v>
      </c>
      <c r="L84" s="40" t="str">
        <f t="shared" si="17"/>
        <v> </v>
      </c>
      <c r="M84" s="40" t="str">
        <f t="shared" si="17"/>
        <v> </v>
      </c>
      <c r="N84" s="40" t="str">
        <f t="shared" si="17"/>
        <v> </v>
      </c>
      <c r="O84" s="40" t="str">
        <f t="shared" si="17"/>
        <v> </v>
      </c>
      <c r="P84" s="40" t="str">
        <f t="shared" si="17"/>
        <v> </v>
      </c>
      <c r="Q84" s="40" t="str">
        <f t="shared" si="17"/>
        <v> </v>
      </c>
      <c r="R84" s="40" t="str">
        <f t="shared" si="17"/>
        <v> </v>
      </c>
      <c r="S84" s="40" t="str">
        <f t="shared" si="17"/>
        <v> </v>
      </c>
      <c r="U84" s="9" t="s">
        <v>8</v>
      </c>
      <c r="V84" t="str">
        <f>IF(ISNUMBER(V71),IF(V71&gt;$D$34,IF('Ввод данных и результаты'!I7&lt;='Ввод данных и результаты'!D5,$D$34,CONCATENATE("&gt;",$D$34)),V71)," ")</f>
        <v> </v>
      </c>
      <c r="X84" t="str">
        <f>IF(ISNUMBER(X71),IF(X71&gt;$D$34,IF('Ввод данных и результаты'!K7&lt;='Ввод данных и результаты'!F5,$D$34,CONCATENATE("&gt;",$D$34)),X71)," ")</f>
        <v> </v>
      </c>
      <c r="Z84" t="str">
        <f>IF(ISNUMBER(Z71),IF(Z71&gt;$D$34,IF('Ввод данных и результаты'!M7&lt;='Ввод данных и результаты'!H5,$D$34,CONCATENATE("&gt;",$D$34)),Z71)," ")</f>
        <v> </v>
      </c>
      <c r="AB84" t="str">
        <f>IF(ISNUMBER(AB71),IF(AB71&gt;$D$34,IF('Ввод данных и результаты'!O7&lt;='Ввод данных и результаты'!J5,$D$34,CONCATENATE("&gt;",$D$34)),AB71)," ")</f>
        <v> </v>
      </c>
      <c r="AD84" t="str">
        <f>IF(ISNUMBER(AD71),IF(AD71&gt;$D$34,IF('Ввод данных и результаты'!Q7&lt;='Ввод данных и результаты'!L5,$D$34,CONCATENATE("&gt;",$D$34)),AD71)," ")</f>
        <v> </v>
      </c>
      <c r="AF84" t="str">
        <f>IF(ISNUMBER(AF71),IF(AF71&gt;$D$34,IF('Ввод данных и результаты'!S7&lt;='Ввод данных и результаты'!N5,$D$34,CONCATENATE("&gt;",$D$34)),AF71)," ")</f>
        <v> </v>
      </c>
      <c r="AG84" s="81"/>
    </row>
    <row r="85" spans="7:33" ht="13.5" thickBot="1">
      <c r="G85" s="9" t="s">
        <v>9</v>
      </c>
      <c r="H85" s="40" t="str">
        <f aca="true" t="shared" si="18" ref="H85:S85">IF(ISNUMBER(H72),IF($J$81="+",LN(H72),H72)," ")</f>
        <v> </v>
      </c>
      <c r="I85" s="40" t="str">
        <f t="shared" si="18"/>
        <v> </v>
      </c>
      <c r="J85" s="40" t="str">
        <f t="shared" si="18"/>
        <v> </v>
      </c>
      <c r="K85" s="40" t="str">
        <f t="shared" si="18"/>
        <v> </v>
      </c>
      <c r="L85" s="40" t="str">
        <f t="shared" si="18"/>
        <v> </v>
      </c>
      <c r="M85" s="40" t="str">
        <f t="shared" si="18"/>
        <v> </v>
      </c>
      <c r="N85" s="40" t="str">
        <f t="shared" si="18"/>
        <v> </v>
      </c>
      <c r="O85" s="40" t="str">
        <f t="shared" si="18"/>
        <v> </v>
      </c>
      <c r="P85" s="40" t="str">
        <f t="shared" si="18"/>
        <v> </v>
      </c>
      <c r="Q85" s="40" t="str">
        <f t="shared" si="18"/>
        <v> </v>
      </c>
      <c r="R85" s="40" t="str">
        <f t="shared" si="18"/>
        <v> </v>
      </c>
      <c r="S85" s="40" t="str">
        <f t="shared" si="18"/>
        <v> </v>
      </c>
      <c r="U85" s="9" t="s">
        <v>9</v>
      </c>
      <c r="V85" t="str">
        <f>IF(ISNUMBER(V72),IF(V72&gt;$D$34,IF('Ввод данных и результаты'!I8&lt;='Ввод данных и результаты'!D6,$D$34,CONCATENATE("&gt;",$D$34)),V72)," ")</f>
        <v> </v>
      </c>
      <c r="X85" t="str">
        <f>IF(ISNUMBER(X72),IF(X72&gt;$D$34,IF('Ввод данных и результаты'!K8&lt;='Ввод данных и результаты'!F6,$D$34,CONCATENATE("&gt;",$D$34)),X72)," ")</f>
        <v> </v>
      </c>
      <c r="Z85" t="str">
        <f>IF(ISNUMBER(Z72),IF(Z72&gt;$D$34,IF('Ввод данных и результаты'!M8&lt;='Ввод данных и результаты'!H6,$D$34,CONCATENATE("&gt;",$D$34)),Z72)," ")</f>
        <v> </v>
      </c>
      <c r="AB85" t="str">
        <f>IF(ISNUMBER(AB72),IF(AB72&gt;$D$34,IF('Ввод данных и результаты'!O8&lt;='Ввод данных и результаты'!J6,$D$34,CONCATENATE("&gt;",$D$34)),AB72)," ")</f>
        <v> </v>
      </c>
      <c r="AD85" t="str">
        <f>IF(ISNUMBER(AD72),IF(AD72&gt;$D$34,IF('Ввод данных и результаты'!Q8&lt;='Ввод данных и результаты'!L6,$D$34,CONCATENATE("&gt;",$D$34)),AD72)," ")</f>
        <v> </v>
      </c>
      <c r="AF85" t="str">
        <f>IF(ISNUMBER(AF72),IF(AF72&gt;$D$34,IF('Ввод данных и результаты'!S8&lt;='Ввод данных и результаты'!N6,$D$34,CONCATENATE("&gt;",$D$34)),AF72)," ")</f>
        <v> </v>
      </c>
      <c r="AG85" s="82"/>
    </row>
    <row r="86" spans="7:33" ht="13.5" thickBot="1">
      <c r="G86" s="9" t="s">
        <v>10</v>
      </c>
      <c r="H86" s="40" t="str">
        <f aca="true" t="shared" si="19" ref="H86:S86">IF(ISNUMBER(H73),IF($J$81="+",LN(H73),H73)," ")</f>
        <v> </v>
      </c>
      <c r="I86" s="40" t="str">
        <f t="shared" si="19"/>
        <v> </v>
      </c>
      <c r="J86" s="40" t="str">
        <f t="shared" si="19"/>
        <v> </v>
      </c>
      <c r="K86" s="40" t="str">
        <f t="shared" si="19"/>
        <v> </v>
      </c>
      <c r="L86" s="40" t="str">
        <f t="shared" si="19"/>
        <v> </v>
      </c>
      <c r="M86" s="40" t="str">
        <f t="shared" si="19"/>
        <v> </v>
      </c>
      <c r="N86" s="40" t="str">
        <f t="shared" si="19"/>
        <v> </v>
      </c>
      <c r="O86" s="40" t="str">
        <f t="shared" si="19"/>
        <v> </v>
      </c>
      <c r="P86" s="40" t="str">
        <f t="shared" si="19"/>
        <v> </v>
      </c>
      <c r="Q86" s="40" t="str">
        <f t="shared" si="19"/>
        <v> </v>
      </c>
      <c r="R86" s="40" t="str">
        <f t="shared" si="19"/>
        <v> </v>
      </c>
      <c r="S86" s="40" t="str">
        <f t="shared" si="19"/>
        <v> </v>
      </c>
      <c r="U86" s="9" t="s">
        <v>10</v>
      </c>
      <c r="V86" t="str">
        <f>IF(ISNUMBER(V73),IF(V73&gt;$D$34,IF('Ввод данных и результаты'!I9&lt;='Ввод данных и результаты'!D7,$D$34,CONCATENATE("&gt;",$D$34)),V73)," ")</f>
        <v> </v>
      </c>
      <c r="X86" t="str">
        <f>IF(ISNUMBER(X73),IF(X73&gt;$D$34,IF('Ввод данных и результаты'!K9&lt;='Ввод данных и результаты'!F7,$D$34,CONCATENATE("&gt;",$D$34)),X73)," ")</f>
        <v> </v>
      </c>
      <c r="Z86" t="str">
        <f>IF(ISNUMBER(Z73),IF(Z73&gt;$D$34,IF('Ввод данных и результаты'!M9&lt;='Ввод данных и результаты'!H7,$D$34,CONCATENATE("&gt;",$D$34)),Z73)," ")</f>
        <v> </v>
      </c>
      <c r="AB86" t="str">
        <f>IF(ISNUMBER(AB73),IF(AB73&gt;$D$34,IF('Ввод данных и результаты'!O9&lt;='Ввод данных и результаты'!J7,$D$34,CONCATENATE("&gt;",$D$34)),AB73)," ")</f>
        <v> </v>
      </c>
      <c r="AD86" t="str">
        <f>IF(ISNUMBER(AD73),IF(AD73&gt;$D$34,IF('Ввод данных и результаты'!Q9&lt;='Ввод данных и результаты'!L7,$D$34,CONCATENATE("&gt;",$D$34)),AD73)," ")</f>
        <v> </v>
      </c>
      <c r="AF86" t="str">
        <f>IF(ISNUMBER(AF73),IF(AF73&gt;$D$34,IF('Ввод данных и результаты'!S9&lt;='Ввод данных и результаты'!N7,$D$34,CONCATENATE("&gt;",$D$34)),AF73)," ")</f>
        <v> </v>
      </c>
      <c r="AG86" s="82"/>
    </row>
    <row r="87" spans="7:33" ht="13.5" thickBot="1">
      <c r="G87" s="9" t="s">
        <v>11</v>
      </c>
      <c r="H87" s="40" t="str">
        <f aca="true" t="shared" si="20" ref="H87:S87">IF(ISNUMBER(H74),IF($J$81="+",LN(H74),H74)," ")</f>
        <v> </v>
      </c>
      <c r="I87" s="40" t="str">
        <f t="shared" si="20"/>
        <v> </v>
      </c>
      <c r="J87" s="40" t="str">
        <f t="shared" si="20"/>
        <v> </v>
      </c>
      <c r="K87" s="40" t="str">
        <f t="shared" si="20"/>
        <v> </v>
      </c>
      <c r="L87" s="40" t="str">
        <f t="shared" si="20"/>
        <v> </v>
      </c>
      <c r="M87" s="40" t="str">
        <f t="shared" si="20"/>
        <v> </v>
      </c>
      <c r="N87" s="40" t="str">
        <f t="shared" si="20"/>
        <v> </v>
      </c>
      <c r="O87" s="40" t="str">
        <f t="shared" si="20"/>
        <v> </v>
      </c>
      <c r="P87" s="40" t="str">
        <f t="shared" si="20"/>
        <v> </v>
      </c>
      <c r="Q87" s="40" t="str">
        <f t="shared" si="20"/>
        <v> </v>
      </c>
      <c r="R87" s="40" t="str">
        <f t="shared" si="20"/>
        <v> </v>
      </c>
      <c r="S87" s="40" t="str">
        <f t="shared" si="20"/>
        <v> </v>
      </c>
      <c r="U87" s="9" t="s">
        <v>11</v>
      </c>
      <c r="V87" t="str">
        <f>IF(ISNUMBER(V74),IF(V74&gt;$D$34,IF('Ввод данных и результаты'!I10&lt;='Ввод данных и результаты'!D8,$D$34,CONCATENATE("&gt;",$D$34)),V74)," ")</f>
        <v> </v>
      </c>
      <c r="X87" t="str">
        <f>IF(ISNUMBER(X74),IF(X74&gt;$D$34,IF('Ввод данных и результаты'!K10&lt;='Ввод данных и результаты'!F8,$D$34,CONCATENATE("&gt;",$D$34)),X74)," ")</f>
        <v> </v>
      </c>
      <c r="Z87" t="str">
        <f>IF(ISNUMBER(Z74),IF(Z74&gt;$D$34,IF('Ввод данных и результаты'!M10&lt;='Ввод данных и результаты'!H8,$D$34,CONCATENATE("&gt;",$D$34)),Z74)," ")</f>
        <v> </v>
      </c>
      <c r="AB87" t="str">
        <f>IF(ISNUMBER(AB74),IF(AB74&gt;$D$34,IF('Ввод данных и результаты'!O10&lt;='Ввод данных и результаты'!J8,$D$34,CONCATENATE("&gt;",$D$34)),AB74)," ")</f>
        <v> </v>
      </c>
      <c r="AD87" t="str">
        <f>IF(ISNUMBER(AD74),IF(AD74&gt;$D$34,IF('Ввод данных и результаты'!Q10&lt;='Ввод данных и результаты'!L8,$D$34,CONCATENATE("&gt;",$D$34)),AD74)," ")</f>
        <v> </v>
      </c>
      <c r="AF87" t="str">
        <f>IF(ISNUMBER(AF74),IF(AF74&gt;$D$34,IF('Ввод данных и результаты'!S10&lt;='Ввод данных и результаты'!N8,$D$34,CONCATENATE("&gt;",$D$34)),AF74)," ")</f>
        <v> </v>
      </c>
      <c r="AG87" s="82"/>
    </row>
    <row r="88" spans="7:33" ht="13.5" thickBot="1">
      <c r="G88" s="9" t="s">
        <v>12</v>
      </c>
      <c r="H88" s="40" t="str">
        <f aca="true" t="shared" si="21" ref="H88:S88">IF(ISNUMBER(H75),IF($J$81="+",LN(H75),H75)," ")</f>
        <v> </v>
      </c>
      <c r="I88" s="40" t="str">
        <f t="shared" si="21"/>
        <v> </v>
      </c>
      <c r="J88" s="40" t="str">
        <f t="shared" si="21"/>
        <v> </v>
      </c>
      <c r="K88" s="40" t="str">
        <f t="shared" si="21"/>
        <v> </v>
      </c>
      <c r="L88" s="40" t="str">
        <f t="shared" si="21"/>
        <v> </v>
      </c>
      <c r="M88" s="40" t="str">
        <f t="shared" si="21"/>
        <v> </v>
      </c>
      <c r="N88" s="40" t="str">
        <f t="shared" si="21"/>
        <v> </v>
      </c>
      <c r="O88" s="40" t="str">
        <f t="shared" si="21"/>
        <v> </v>
      </c>
      <c r="P88" s="40" t="str">
        <f t="shared" si="21"/>
        <v> </v>
      </c>
      <c r="Q88" s="40" t="str">
        <f t="shared" si="21"/>
        <v> </v>
      </c>
      <c r="R88" s="40" t="str">
        <f t="shared" si="21"/>
        <v> </v>
      </c>
      <c r="S88" s="40" t="str">
        <f t="shared" si="21"/>
        <v> </v>
      </c>
      <c r="U88" s="9" t="s">
        <v>12</v>
      </c>
      <c r="V88" t="str">
        <f>IF(ISNUMBER(V75),IF(V75&gt;$D$34,IF('Ввод данных и результаты'!I11&lt;='Ввод данных и результаты'!D9,$D$34,CONCATENATE("&gt;",$D$34)),V75)," ")</f>
        <v> </v>
      </c>
      <c r="X88" t="str">
        <f>IF(ISNUMBER(X75),IF(X75&gt;$D$34,IF('Ввод данных и результаты'!K11&lt;='Ввод данных и результаты'!F9,$D$34,CONCATENATE("&gt;",$D$34)),X75)," ")</f>
        <v> </v>
      </c>
      <c r="Z88" t="str">
        <f>IF(ISNUMBER(Z75),IF(Z75&gt;$D$34,IF('Ввод данных и результаты'!M11&lt;='Ввод данных и результаты'!H9,$D$34,CONCATENATE("&gt;",$D$34)),Z75)," ")</f>
        <v> </v>
      </c>
      <c r="AB88" t="str">
        <f>IF(ISNUMBER(AB75),IF(AB75&gt;$D$34,IF('Ввод данных и результаты'!O11&lt;='Ввод данных и результаты'!J9,$D$34,CONCATENATE("&gt;",$D$34)),AB75)," ")</f>
        <v> </v>
      </c>
      <c r="AD88" t="str">
        <f>IF(ISNUMBER(AD75),IF(AD75&gt;$D$34,IF('Ввод данных и результаты'!Q11&lt;='Ввод данных и результаты'!L9,$D$34,CONCATENATE("&gt;",$D$34)),AD75)," ")</f>
        <v> </v>
      </c>
      <c r="AF88" t="str">
        <f>IF(ISNUMBER(AF75),IF(AF75&gt;$D$34,IF('Ввод данных и результаты'!S11&lt;='Ввод данных и результаты'!N9,$D$34,CONCATENATE("&gt;",$D$34)),AF75)," ")</f>
        <v> </v>
      </c>
      <c r="AG88" s="82"/>
    </row>
    <row r="89" spans="7:33" ht="13.5" thickBot="1">
      <c r="G89" s="9" t="s">
        <v>13</v>
      </c>
      <c r="H89" s="40" t="str">
        <f aca="true" t="shared" si="22" ref="H89:S89">IF(ISNUMBER(H76),IF($J$81="+",LN(H76),H76)," ")</f>
        <v> </v>
      </c>
      <c r="I89" s="40" t="str">
        <f t="shared" si="22"/>
        <v> </v>
      </c>
      <c r="J89" s="40" t="str">
        <f t="shared" si="22"/>
        <v> </v>
      </c>
      <c r="K89" s="40" t="str">
        <f t="shared" si="22"/>
        <v> </v>
      </c>
      <c r="L89" s="40" t="str">
        <f t="shared" si="22"/>
        <v> </v>
      </c>
      <c r="M89" s="40" t="str">
        <f t="shared" si="22"/>
        <v> </v>
      </c>
      <c r="N89" s="40" t="str">
        <f t="shared" si="22"/>
        <v> </v>
      </c>
      <c r="O89" s="40" t="str">
        <f t="shared" si="22"/>
        <v> </v>
      </c>
      <c r="P89" s="40" t="str">
        <f t="shared" si="22"/>
        <v> </v>
      </c>
      <c r="Q89" s="40" t="str">
        <f t="shared" si="22"/>
        <v> </v>
      </c>
      <c r="R89" s="40" t="str">
        <f t="shared" si="22"/>
        <v> </v>
      </c>
      <c r="S89" s="40" t="str">
        <f t="shared" si="22"/>
        <v> </v>
      </c>
      <c r="U89" s="9" t="s">
        <v>13</v>
      </c>
      <c r="V89" t="str">
        <f>IF(ISNUMBER(V76),IF(V76&gt;$D$34,IF('Ввод данных и результаты'!I12&lt;='Ввод данных и результаты'!D10,$D$34,CONCATENATE("&gt;",$D$34)),V76)," ")</f>
        <v> </v>
      </c>
      <c r="X89" t="str">
        <f>IF(ISNUMBER(X76),IF(X76&gt;$D$34,IF('Ввод данных и результаты'!K12&lt;='Ввод данных и результаты'!F10,$D$34,CONCATENATE("&gt;",$D$34)),X76)," ")</f>
        <v> </v>
      </c>
      <c r="Z89" t="str">
        <f>IF(ISNUMBER(Z76),IF(Z76&gt;$D$34,IF('Ввод данных и результаты'!M12&lt;='Ввод данных и результаты'!H10,$D$34,CONCATENATE("&gt;",$D$34)),Z76)," ")</f>
        <v> </v>
      </c>
      <c r="AB89" t="str">
        <f>IF(ISNUMBER(AB76),IF(AB76&gt;$D$34,IF('Ввод данных и результаты'!O12&lt;='Ввод данных и результаты'!J10,$D$34,CONCATENATE("&gt;",$D$34)),AB76)," ")</f>
        <v> </v>
      </c>
      <c r="AD89" t="str">
        <f>IF(ISNUMBER(AD76),IF(AD76&gt;$D$34,IF('Ввод данных и результаты'!Q12&lt;='Ввод данных и результаты'!L10,$D$34,CONCATENATE("&gt;",$D$34)),AD76)," ")</f>
        <v> </v>
      </c>
      <c r="AF89" t="str">
        <f>IF(ISNUMBER(AF76),IF(AF76&gt;$D$34,IF('Ввод данных и результаты'!S12&lt;='Ввод данных и результаты'!N10,$D$34,CONCATENATE("&gt;",$D$34)),AF76)," ")</f>
        <v> </v>
      </c>
      <c r="AG89" s="82"/>
    </row>
    <row r="90" spans="7:33" ht="13.5" thickBot="1">
      <c r="G90" s="9" t="s">
        <v>14</v>
      </c>
      <c r="H90" s="40" t="str">
        <f aca="true" t="shared" si="23" ref="H90:S90">IF(ISNUMBER(H77),IF($J$81="+",LN(H77),H77)," ")</f>
        <v> </v>
      </c>
      <c r="I90" s="40" t="str">
        <f t="shared" si="23"/>
        <v> </v>
      </c>
      <c r="J90" s="40" t="str">
        <f t="shared" si="23"/>
        <v> </v>
      </c>
      <c r="K90" s="40" t="str">
        <f t="shared" si="23"/>
        <v> </v>
      </c>
      <c r="L90" s="40" t="str">
        <f t="shared" si="23"/>
        <v> </v>
      </c>
      <c r="M90" s="40" t="str">
        <f t="shared" si="23"/>
        <v> </v>
      </c>
      <c r="N90" s="40" t="str">
        <f t="shared" si="23"/>
        <v> </v>
      </c>
      <c r="O90" s="40" t="str">
        <f t="shared" si="23"/>
        <v> </v>
      </c>
      <c r="P90" s="40" t="str">
        <f t="shared" si="23"/>
        <v> </v>
      </c>
      <c r="Q90" s="40" t="str">
        <f t="shared" si="23"/>
        <v> </v>
      </c>
      <c r="R90" s="40" t="str">
        <f t="shared" si="23"/>
        <v> </v>
      </c>
      <c r="S90" s="40" t="str">
        <f t="shared" si="23"/>
        <v> </v>
      </c>
      <c r="U90" s="9" t="s">
        <v>14</v>
      </c>
      <c r="V90" t="str">
        <f>IF(ISNUMBER(V77),IF(V77&gt;$D$34,IF('Ввод данных и результаты'!I13&lt;='Ввод данных и результаты'!D11,$D$34,CONCATENATE("&gt;",$D$34)),V77)," ")</f>
        <v> </v>
      </c>
      <c r="X90" t="str">
        <f>IF(ISNUMBER(X77),IF(X77&gt;$D$34,IF('Ввод данных и результаты'!K13&lt;='Ввод данных и результаты'!F11,$D$34,CONCATENATE("&gt;",$D$34)),X77)," ")</f>
        <v> </v>
      </c>
      <c r="Z90" t="str">
        <f>IF(ISNUMBER(Z77),IF(Z77&gt;$D$34,IF('Ввод данных и результаты'!M13&lt;='Ввод данных и результаты'!H11,$D$34,CONCATENATE("&gt;",$D$34)),Z77)," ")</f>
        <v> </v>
      </c>
      <c r="AB90" t="str">
        <f>IF(ISNUMBER(AB77),IF(AB77&gt;$D$34,IF('Ввод данных и результаты'!O13&lt;='Ввод данных и результаты'!J11,$D$34,CONCATENATE("&gt;",$D$34)),AB77)," ")</f>
        <v> </v>
      </c>
      <c r="AD90" t="str">
        <f>IF(ISNUMBER(AD77),IF(AD77&gt;$D$34,IF('Ввод данных и результаты'!Q13&lt;='Ввод данных и результаты'!L11,$D$34,CONCATENATE("&gt;",$D$34)),AD77)," ")</f>
        <v> </v>
      </c>
      <c r="AF90" t="str">
        <f>IF(ISNUMBER(AF77),IF(AF77&gt;$D$34,IF('Ввод данных и результаты'!S13&lt;='Ввод данных и результаты'!N11,$D$34,CONCATENATE("&gt;",$D$34)),AF77)," ")</f>
        <v> </v>
      </c>
      <c r="AG90" s="82"/>
    </row>
    <row r="91" spans="7:33" ht="13.5" thickBot="1">
      <c r="G91" s="9" t="s">
        <v>15</v>
      </c>
      <c r="H91" s="40" t="str">
        <f aca="true" t="shared" si="24" ref="H91:S91">IF(ISNUMBER(H78),IF($J$81="+",LN(H78),H78)," ")</f>
        <v> </v>
      </c>
      <c r="I91" s="40" t="str">
        <f t="shared" si="24"/>
        <v> </v>
      </c>
      <c r="J91" s="40" t="str">
        <f t="shared" si="24"/>
        <v> </v>
      </c>
      <c r="K91" s="40" t="str">
        <f t="shared" si="24"/>
        <v> </v>
      </c>
      <c r="L91" s="40" t="str">
        <f t="shared" si="24"/>
        <v> </v>
      </c>
      <c r="M91" s="40" t="str">
        <f t="shared" si="24"/>
        <v> </v>
      </c>
      <c r="N91" s="40" t="str">
        <f t="shared" si="24"/>
        <v> </v>
      </c>
      <c r="O91" s="40" t="str">
        <f t="shared" si="24"/>
        <v> </v>
      </c>
      <c r="P91" s="40" t="str">
        <f t="shared" si="24"/>
        <v> </v>
      </c>
      <c r="Q91" s="40" t="str">
        <f t="shared" si="24"/>
        <v> </v>
      </c>
      <c r="R91" s="40" t="str">
        <f t="shared" si="24"/>
        <v> </v>
      </c>
      <c r="S91" s="40" t="str">
        <f t="shared" si="24"/>
        <v> </v>
      </c>
      <c r="U91" s="9" t="s">
        <v>15</v>
      </c>
      <c r="V91" t="str">
        <f>IF(ISNUMBER(V78),IF(V78&gt;$D$34,IF('Ввод данных и результаты'!I14&lt;='Ввод данных и результаты'!D12,$D$34,CONCATENATE("&gt;",$D$34)),V78)," ")</f>
        <v> </v>
      </c>
      <c r="X91" t="str">
        <f>IF(ISNUMBER(X78),IF(X78&gt;$D$34,IF('Ввод данных и результаты'!K14&lt;='Ввод данных и результаты'!F12,$D$34,CONCATENATE("&gt;",$D$34)),X78)," ")</f>
        <v> </v>
      </c>
      <c r="Z91" t="str">
        <f>IF(ISNUMBER(Z78),IF(Z78&gt;$D$34,IF('Ввод данных и результаты'!M14&lt;='Ввод данных и результаты'!H12,$D$34,CONCATENATE("&gt;",$D$34)),Z78)," ")</f>
        <v> </v>
      </c>
      <c r="AB91" t="str">
        <f>IF(ISNUMBER(AB78),IF(AB78&gt;$D$34,IF('Ввод данных и результаты'!O14&lt;='Ввод данных и результаты'!J12,$D$34,CONCATENATE("&gt;",$D$34)),AB78)," ")</f>
        <v> </v>
      </c>
      <c r="AD91" t="str">
        <f>IF(ISNUMBER(AD78),IF(AD78&gt;$D$34,IF('Ввод данных и результаты'!Q14&lt;='Ввод данных и результаты'!L12,$D$34,CONCATENATE("&gt;",$D$34)),AD78)," ")</f>
        <v> </v>
      </c>
      <c r="AF91" t="str">
        <f>IF(ISNUMBER(AF78),IF(AF78&gt;$D$34,IF('Ввод данных и результаты'!S14&lt;='Ввод данных и результаты'!N12,$D$34,CONCATENATE("&gt;",$D$34)),AF78)," ")</f>
        <v> </v>
      </c>
      <c r="AG91" s="83"/>
    </row>
    <row r="92" spans="9:33" ht="12.75">
      <c r="I92" s="4"/>
      <c r="J92" s="4"/>
      <c r="K92" s="4"/>
      <c r="V92" s="95"/>
      <c r="W92" s="95"/>
      <c r="X92" s="95"/>
      <c r="Y92" s="95"/>
      <c r="Z92" s="95"/>
      <c r="AA92" s="95"/>
      <c r="AB92" s="95"/>
      <c r="AC92" s="95"/>
      <c r="AD92" s="95"/>
      <c r="AE92" s="95"/>
      <c r="AF92" s="95"/>
      <c r="AG92" s="95"/>
    </row>
    <row r="93" spans="9:33" ht="12.75">
      <c r="I93" s="4"/>
      <c r="J93" s="4"/>
      <c r="K93" s="4"/>
      <c r="L93" t="s">
        <v>78</v>
      </c>
      <c r="N93" t="s">
        <v>63</v>
      </c>
      <c r="V93" s="7"/>
      <c r="W93" s="7"/>
      <c r="X93" s="7"/>
      <c r="Y93" s="7"/>
      <c r="Z93" s="7"/>
      <c r="AA93" s="7"/>
      <c r="AB93" s="7"/>
      <c r="AC93" s="7"/>
      <c r="AD93" s="7"/>
      <c r="AE93" s="7"/>
      <c r="AF93" s="7"/>
      <c r="AG93" s="7"/>
    </row>
    <row r="94" spans="7:15" ht="12.75">
      <c r="G94" s="70" t="s">
        <v>73</v>
      </c>
      <c r="H94" t="s">
        <v>66</v>
      </c>
      <c r="I94" s="4" t="s">
        <v>74</v>
      </c>
      <c r="J94" s="4" t="s">
        <v>68</v>
      </c>
      <c r="K94" s="4" t="s">
        <v>75</v>
      </c>
      <c r="L94" s="4" t="s">
        <v>76</v>
      </c>
      <c r="M94" s="4" t="s">
        <v>77</v>
      </c>
      <c r="N94" s="4" t="s">
        <v>76</v>
      </c>
      <c r="O94" s="4" t="s">
        <v>77</v>
      </c>
    </row>
    <row r="95" spans="4:22" ht="15">
      <c r="D95" t="s">
        <v>100</v>
      </c>
      <c r="E95">
        <v>5</v>
      </c>
      <c r="G95" t="s">
        <v>71</v>
      </c>
      <c r="H95">
        <v>5</v>
      </c>
      <c r="I95" s="4" t="s">
        <v>62</v>
      </c>
      <c r="J95" s="4">
        <v>1</v>
      </c>
      <c r="K95" t="s">
        <v>83</v>
      </c>
      <c r="L95" t="str">
        <f>V95</f>
        <v>&lt;0.05</v>
      </c>
      <c r="M95" t="str">
        <f>CONCATENATE("&gt;",$J$34)</f>
        <v>&gt;-1000000</v>
      </c>
      <c r="N95">
        <v>0.4</v>
      </c>
      <c r="O95">
        <v>4</v>
      </c>
      <c r="R95" s="110" t="s">
        <v>175</v>
      </c>
      <c r="U95">
        <v>0.05</v>
      </c>
      <c r="V95" s="111" t="str">
        <f>CONCATENATE("&lt;",U95)</f>
        <v>&lt;0.05</v>
      </c>
    </row>
    <row r="96" spans="4:22" ht="15">
      <c r="D96" t="s">
        <v>99</v>
      </c>
      <c r="E96">
        <v>1</v>
      </c>
      <c r="G96" t="s">
        <v>81</v>
      </c>
      <c r="H96">
        <v>2</v>
      </c>
      <c r="I96" s="4" t="s">
        <v>95</v>
      </c>
      <c r="J96" s="4">
        <v>0</v>
      </c>
      <c r="K96" t="s">
        <v>82</v>
      </c>
      <c r="L96" s="112" t="str">
        <f>CONCATENATE("&gt;",$J$34)</f>
        <v>&gt;-1000000</v>
      </c>
      <c r="M96" t="str">
        <f>V96</f>
        <v>&lt;1</v>
      </c>
      <c r="N96">
        <v>9</v>
      </c>
      <c r="O96">
        <v>22.2</v>
      </c>
      <c r="R96" s="110" t="s">
        <v>170</v>
      </c>
      <c r="U96">
        <v>1</v>
      </c>
      <c r="V96" s="111" t="str">
        <f aca="true" t="shared" si="25" ref="V96:V113">CONCATENATE("&lt;",U96)</f>
        <v>&lt;1</v>
      </c>
    </row>
    <row r="97" spans="4:22" ht="15">
      <c r="D97" t="s">
        <v>111</v>
      </c>
      <c r="E97">
        <v>2</v>
      </c>
      <c r="G97" t="s">
        <v>97</v>
      </c>
      <c r="H97">
        <v>2</v>
      </c>
      <c r="I97" t="s">
        <v>95</v>
      </c>
      <c r="J97" s="4">
        <v>0</v>
      </c>
      <c r="K97" s="4" t="s">
        <v>96</v>
      </c>
      <c r="L97" s="112" t="str">
        <f>CONCATENATE("&gt;",$J$34)</f>
        <v>&gt;-1000000</v>
      </c>
      <c r="M97" t="str">
        <f>V97</f>
        <v>&lt;5</v>
      </c>
      <c r="N97">
        <v>59</v>
      </c>
      <c r="O97">
        <v>153</v>
      </c>
      <c r="R97" s="110" t="s">
        <v>169</v>
      </c>
      <c r="U97">
        <v>5</v>
      </c>
      <c r="V97" s="111" t="str">
        <f t="shared" si="25"/>
        <v>&lt;5</v>
      </c>
    </row>
    <row r="98" spans="4:22" ht="15">
      <c r="D98" t="s">
        <v>112</v>
      </c>
      <c r="E98">
        <v>3</v>
      </c>
      <c r="G98" t="s">
        <v>92</v>
      </c>
      <c r="H98">
        <v>2</v>
      </c>
      <c r="I98" t="s">
        <v>95</v>
      </c>
      <c r="J98" s="4">
        <v>0</v>
      </c>
      <c r="K98" s="4" t="s">
        <v>98</v>
      </c>
      <c r="L98" s="112" t="str">
        <f>CONCATENATE("&gt;",$J$34)</f>
        <v>&gt;-1000000</v>
      </c>
      <c r="M98" t="str">
        <f>V98</f>
        <v>&lt;0.3</v>
      </c>
      <c r="N98">
        <v>1.2</v>
      </c>
      <c r="O98">
        <v>4.2</v>
      </c>
      <c r="R98" s="110" t="s">
        <v>168</v>
      </c>
      <c r="U98">
        <v>0.3</v>
      </c>
      <c r="V98" s="111" t="str">
        <f t="shared" si="25"/>
        <v>&lt;0.3</v>
      </c>
    </row>
    <row r="99" spans="4:22" ht="15">
      <c r="D99" t="s">
        <v>113</v>
      </c>
      <c r="E99">
        <v>4</v>
      </c>
      <c r="G99" t="s">
        <v>93</v>
      </c>
      <c r="H99">
        <v>2</v>
      </c>
      <c r="I99" t="s">
        <v>95</v>
      </c>
      <c r="J99" s="4">
        <v>0</v>
      </c>
      <c r="K99" s="4" t="s">
        <v>89</v>
      </c>
      <c r="L99" s="112" t="str">
        <f>CONCATENATE("&gt;",$J$34)</f>
        <v>&gt;-1000000</v>
      </c>
      <c r="M99" t="str">
        <f>V99</f>
        <v>&lt;0.2</v>
      </c>
      <c r="N99">
        <v>0.56</v>
      </c>
      <c r="O99">
        <v>1.88</v>
      </c>
      <c r="R99" s="110" t="s">
        <v>167</v>
      </c>
      <c r="U99">
        <v>0.2</v>
      </c>
      <c r="V99" s="111" t="str">
        <f t="shared" si="25"/>
        <v>&lt;0.2</v>
      </c>
    </row>
    <row r="100" spans="4:22" ht="15">
      <c r="D100" t="s">
        <v>102</v>
      </c>
      <c r="E100">
        <v>10</v>
      </c>
      <c r="G100" t="s">
        <v>86</v>
      </c>
      <c r="H100">
        <v>5</v>
      </c>
      <c r="I100" s="4" t="s">
        <v>62</v>
      </c>
      <c r="J100" s="4">
        <v>1</v>
      </c>
      <c r="K100" t="s">
        <v>79</v>
      </c>
      <c r="L100" t="str">
        <f>V100</f>
        <v>&lt;5</v>
      </c>
      <c r="M100" t="str">
        <f aca="true" t="shared" si="26" ref="M100:M109">CONCATENATE("&gt;",$J$34)</f>
        <v>&gt;-1000000</v>
      </c>
      <c r="N100">
        <v>1E-06</v>
      </c>
      <c r="O100">
        <v>100</v>
      </c>
      <c r="R100" s="110" t="s">
        <v>173</v>
      </c>
      <c r="U100">
        <v>5</v>
      </c>
      <c r="V100" s="111" t="str">
        <f t="shared" si="25"/>
        <v>&lt;5</v>
      </c>
    </row>
    <row r="101" spans="4:22" ht="15">
      <c r="D101" t="s">
        <v>103</v>
      </c>
      <c r="E101">
        <v>11</v>
      </c>
      <c r="G101" t="s">
        <v>87</v>
      </c>
      <c r="H101">
        <v>5</v>
      </c>
      <c r="I101" s="4" t="s">
        <v>62</v>
      </c>
      <c r="J101" s="4">
        <v>1</v>
      </c>
      <c r="K101" t="s">
        <v>79</v>
      </c>
      <c r="L101" t="str">
        <f aca="true" t="shared" si="27" ref="L101:L109">V101</f>
        <v>&lt;2</v>
      </c>
      <c r="M101" t="str">
        <f t="shared" si="26"/>
        <v>&gt;-1000000</v>
      </c>
      <c r="N101">
        <v>1E-06</v>
      </c>
      <c r="O101">
        <v>30</v>
      </c>
      <c r="R101" s="110" t="s">
        <v>174</v>
      </c>
      <c r="U101">
        <v>2</v>
      </c>
      <c r="V101" s="111" t="str">
        <f t="shared" si="25"/>
        <v>&lt;2</v>
      </c>
    </row>
    <row r="102" spans="4:22" ht="15">
      <c r="D102" t="s">
        <v>110</v>
      </c>
      <c r="E102">
        <v>15</v>
      </c>
      <c r="G102" t="s">
        <v>94</v>
      </c>
      <c r="H102">
        <v>5</v>
      </c>
      <c r="I102" s="4" t="s">
        <v>62</v>
      </c>
      <c r="J102" s="4">
        <v>1</v>
      </c>
      <c r="K102" t="s">
        <v>89</v>
      </c>
      <c r="L102" t="str">
        <f t="shared" si="27"/>
        <v>&lt;1.5</v>
      </c>
      <c r="M102" t="str">
        <f t="shared" si="26"/>
        <v>&gt;-1000000</v>
      </c>
      <c r="N102">
        <v>1E-06</v>
      </c>
      <c r="O102">
        <v>50</v>
      </c>
      <c r="R102" s="110" t="s">
        <v>171</v>
      </c>
      <c r="U102">
        <v>1.5</v>
      </c>
      <c r="V102" s="111" t="str">
        <f t="shared" si="25"/>
        <v>&lt;1.5</v>
      </c>
    </row>
    <row r="103" spans="4:22" ht="15">
      <c r="D103" t="s">
        <v>107</v>
      </c>
      <c r="E103">
        <v>7</v>
      </c>
      <c r="G103" t="s">
        <v>70</v>
      </c>
      <c r="H103">
        <v>5</v>
      </c>
      <c r="I103" s="4" t="s">
        <v>62</v>
      </c>
      <c r="J103" s="4">
        <v>1</v>
      </c>
      <c r="K103" t="s">
        <v>80</v>
      </c>
      <c r="L103" t="str">
        <f t="shared" si="27"/>
        <v>&lt;0.3</v>
      </c>
      <c r="M103" t="str">
        <f t="shared" si="26"/>
        <v>&gt;-1000000</v>
      </c>
      <c r="N103">
        <v>1E-06</v>
      </c>
      <c r="O103">
        <v>1000</v>
      </c>
      <c r="R103" s="110" t="s">
        <v>158</v>
      </c>
      <c r="U103">
        <v>0.3</v>
      </c>
      <c r="V103" s="111" t="str">
        <f t="shared" si="25"/>
        <v>&lt;0.3</v>
      </c>
    </row>
    <row r="104" spans="4:22" ht="15">
      <c r="D104" t="s">
        <v>108</v>
      </c>
      <c r="E104">
        <v>8</v>
      </c>
      <c r="G104" t="s">
        <v>69</v>
      </c>
      <c r="H104">
        <v>5</v>
      </c>
      <c r="I104" s="4" t="s">
        <v>62</v>
      </c>
      <c r="J104" s="4">
        <v>1</v>
      </c>
      <c r="K104" t="s">
        <v>80</v>
      </c>
      <c r="L104" t="str">
        <f t="shared" si="27"/>
        <v>&lt;0.3</v>
      </c>
      <c r="M104" t="str">
        <f t="shared" si="26"/>
        <v>&gt;-1000000</v>
      </c>
      <c r="N104">
        <v>1E-06</v>
      </c>
      <c r="O104">
        <v>1000</v>
      </c>
      <c r="R104" s="110" t="s">
        <v>159</v>
      </c>
      <c r="U104">
        <v>0.3</v>
      </c>
      <c r="V104" s="111" t="str">
        <f t="shared" si="25"/>
        <v>&lt;0.3</v>
      </c>
    </row>
    <row r="105" spans="4:22" ht="15">
      <c r="D105" t="s">
        <v>101</v>
      </c>
      <c r="E105">
        <v>9</v>
      </c>
      <c r="G105" t="s">
        <v>85</v>
      </c>
      <c r="H105">
        <v>5</v>
      </c>
      <c r="I105" s="4" t="s">
        <v>62</v>
      </c>
      <c r="J105" s="4">
        <v>1</v>
      </c>
      <c r="K105" t="s">
        <v>80</v>
      </c>
      <c r="L105" t="str">
        <f t="shared" si="27"/>
        <v>&lt;10</v>
      </c>
      <c r="M105" t="str">
        <f t="shared" si="26"/>
        <v>&gt;-1000000</v>
      </c>
      <c r="N105">
        <v>1E-06</v>
      </c>
      <c r="O105">
        <v>1000</v>
      </c>
      <c r="R105" s="110" t="s">
        <v>161</v>
      </c>
      <c r="U105">
        <v>10</v>
      </c>
      <c r="V105" s="111" t="str">
        <f t="shared" si="25"/>
        <v>&lt;10</v>
      </c>
    </row>
    <row r="106" spans="4:22" ht="15">
      <c r="D106" t="s">
        <v>109</v>
      </c>
      <c r="E106">
        <v>6</v>
      </c>
      <c r="G106" t="s">
        <v>84</v>
      </c>
      <c r="H106">
        <v>5</v>
      </c>
      <c r="I106" s="4" t="s">
        <v>62</v>
      </c>
      <c r="J106" s="4">
        <v>1</v>
      </c>
      <c r="K106" t="s">
        <v>80</v>
      </c>
      <c r="L106" t="str">
        <f t="shared" si="27"/>
        <v>&lt;1</v>
      </c>
      <c r="M106" t="str">
        <f t="shared" si="26"/>
        <v>&gt;-1000000</v>
      </c>
      <c r="N106">
        <v>1E-06</v>
      </c>
      <c r="O106">
        <v>2</v>
      </c>
      <c r="R106" s="110" t="s">
        <v>160</v>
      </c>
      <c r="U106">
        <v>1</v>
      </c>
      <c r="V106" s="111" t="str">
        <f t="shared" si="25"/>
        <v>&lt;1</v>
      </c>
    </row>
    <row r="107" spans="4:22" ht="15">
      <c r="D107" t="s">
        <v>104</v>
      </c>
      <c r="E107">
        <v>12</v>
      </c>
      <c r="G107" t="s">
        <v>88</v>
      </c>
      <c r="H107">
        <v>5</v>
      </c>
      <c r="I107" s="4" t="s">
        <v>62</v>
      </c>
      <c r="J107" s="4">
        <v>1</v>
      </c>
      <c r="K107" t="s">
        <v>79</v>
      </c>
      <c r="L107" t="str">
        <f t="shared" si="27"/>
        <v>&lt;1</v>
      </c>
      <c r="M107" t="str">
        <f t="shared" si="26"/>
        <v>&gt;-1000000</v>
      </c>
      <c r="N107">
        <v>1E-06</v>
      </c>
      <c r="O107">
        <v>10</v>
      </c>
      <c r="R107" s="110" t="s">
        <v>157</v>
      </c>
      <c r="U107">
        <v>1</v>
      </c>
      <c r="V107" s="111" t="str">
        <f t="shared" si="25"/>
        <v>&lt;1</v>
      </c>
    </row>
    <row r="108" spans="4:22" ht="15">
      <c r="D108" t="s">
        <v>106</v>
      </c>
      <c r="E108">
        <v>14</v>
      </c>
      <c r="G108" t="s">
        <v>91</v>
      </c>
      <c r="H108">
        <v>4</v>
      </c>
      <c r="I108" s="4" t="s">
        <v>62</v>
      </c>
      <c r="J108" s="4">
        <v>1</v>
      </c>
      <c r="K108" t="s">
        <v>89</v>
      </c>
      <c r="L108" t="str">
        <f t="shared" si="27"/>
        <v>&lt;0.1</v>
      </c>
      <c r="M108" t="str">
        <f t="shared" si="26"/>
        <v>&gt;-1000000</v>
      </c>
      <c r="N108">
        <v>1E-06</v>
      </c>
      <c r="O108">
        <v>1000</v>
      </c>
      <c r="R108" s="110" t="s">
        <v>162</v>
      </c>
      <c r="U108">
        <v>0.1</v>
      </c>
      <c r="V108" s="111" t="str">
        <f t="shared" si="25"/>
        <v>&lt;0.1</v>
      </c>
    </row>
    <row r="109" spans="4:22" ht="15">
      <c r="D109" t="s">
        <v>105</v>
      </c>
      <c r="E109">
        <v>13</v>
      </c>
      <c r="G109" t="s">
        <v>90</v>
      </c>
      <c r="H109">
        <v>5</v>
      </c>
      <c r="I109" s="4" t="s">
        <v>62</v>
      </c>
      <c r="J109" s="4">
        <v>1</v>
      </c>
      <c r="K109" t="s">
        <v>89</v>
      </c>
      <c r="L109" t="str">
        <f t="shared" si="27"/>
        <v>&lt;0.05</v>
      </c>
      <c r="M109" t="str">
        <f t="shared" si="26"/>
        <v>&gt;-1000000</v>
      </c>
      <c r="N109">
        <v>1E-06</v>
      </c>
      <c r="O109">
        <v>1000</v>
      </c>
      <c r="R109" s="110" t="s">
        <v>163</v>
      </c>
      <c r="U109">
        <v>0.05</v>
      </c>
      <c r="V109" s="111" t="str">
        <f t="shared" si="25"/>
        <v>&lt;0.05</v>
      </c>
    </row>
    <row r="110" spans="4:22" ht="15">
      <c r="D110" t="s">
        <v>147</v>
      </c>
      <c r="E110">
        <v>16</v>
      </c>
      <c r="G110" t="s">
        <v>153</v>
      </c>
      <c r="H110">
        <v>2</v>
      </c>
      <c r="I110" t="s">
        <v>95</v>
      </c>
      <c r="J110" s="4">
        <v>0</v>
      </c>
      <c r="K110" s="4" t="s">
        <v>96</v>
      </c>
      <c r="L110" s="112" t="str">
        <f>CONCATENATE("&gt;",$J$34)</f>
        <v>&gt;-1000000</v>
      </c>
      <c r="M110" s="4" t="str">
        <f>V110</f>
        <v>&lt;0.5</v>
      </c>
      <c r="N110">
        <v>1E-06</v>
      </c>
      <c r="O110">
        <v>1000</v>
      </c>
      <c r="R110" s="110" t="s">
        <v>172</v>
      </c>
      <c r="U110">
        <v>0.5</v>
      </c>
      <c r="V110" s="111" t="str">
        <f t="shared" si="25"/>
        <v>&lt;0.5</v>
      </c>
    </row>
    <row r="111" spans="4:22" ht="15">
      <c r="D111" t="s">
        <v>148</v>
      </c>
      <c r="E111">
        <v>17</v>
      </c>
      <c r="G111" t="s">
        <v>154</v>
      </c>
      <c r="H111">
        <v>2</v>
      </c>
      <c r="I111" t="s">
        <v>95</v>
      </c>
      <c r="J111" s="4">
        <v>1</v>
      </c>
      <c r="K111" s="4" t="s">
        <v>96</v>
      </c>
      <c r="L111" s="112" t="str">
        <f>CONCATENATE("&gt;",$J$34)</f>
        <v>&gt;-1000000</v>
      </c>
      <c r="M111" s="4" t="str">
        <f>V111</f>
        <v>&lt;0.2</v>
      </c>
      <c r="N111">
        <v>1E-06</v>
      </c>
      <c r="O111">
        <v>1000</v>
      </c>
      <c r="R111" s="110" t="s">
        <v>166</v>
      </c>
      <c r="U111">
        <v>0.2</v>
      </c>
      <c r="V111" s="111" t="str">
        <f t="shared" si="25"/>
        <v>&lt;0.2</v>
      </c>
    </row>
    <row r="112" spans="4:22" ht="15">
      <c r="D112" t="s">
        <v>149</v>
      </c>
      <c r="E112">
        <v>18</v>
      </c>
      <c r="G112" t="s">
        <v>155</v>
      </c>
      <c r="H112">
        <v>2</v>
      </c>
      <c r="I112" t="s">
        <v>95</v>
      </c>
      <c r="J112" s="4">
        <v>2</v>
      </c>
      <c r="K112" s="4" t="s">
        <v>96</v>
      </c>
      <c r="L112" s="112" t="str">
        <f>CONCATENATE("&gt;",$J$34)</f>
        <v>&gt;-1000000</v>
      </c>
      <c r="M112" s="4" t="str">
        <f>V112</f>
        <v>&lt;5</v>
      </c>
      <c r="N112">
        <v>69</v>
      </c>
      <c r="O112">
        <v>690</v>
      </c>
      <c r="R112" s="110" t="s">
        <v>165</v>
      </c>
      <c r="U112">
        <v>5</v>
      </c>
      <c r="V112" s="111" t="str">
        <f t="shared" si="25"/>
        <v>&lt;5</v>
      </c>
    </row>
    <row r="113" spans="4:22" ht="15">
      <c r="D113" t="s">
        <v>150</v>
      </c>
      <c r="E113">
        <v>19</v>
      </c>
      <c r="G113" t="s">
        <v>151</v>
      </c>
      <c r="H113">
        <v>5</v>
      </c>
      <c r="I113" s="4" t="s">
        <v>62</v>
      </c>
      <c r="J113" s="4">
        <v>1</v>
      </c>
      <c r="K113" s="4" t="s">
        <v>152</v>
      </c>
      <c r="L113" t="str">
        <f>V113</f>
        <v>&lt;1</v>
      </c>
      <c r="M113" s="4" t="str">
        <f>CONCATENATE("&gt;",$J$34)</f>
        <v>&gt;-1000000</v>
      </c>
      <c r="N113">
        <v>1E-06</v>
      </c>
      <c r="O113">
        <v>35</v>
      </c>
      <c r="R113" s="110" t="s">
        <v>164</v>
      </c>
      <c r="U113">
        <v>1</v>
      </c>
      <c r="V113" s="111" t="str">
        <f t="shared" si="25"/>
        <v>&lt;1</v>
      </c>
    </row>
    <row r="116" spans="4:15" ht="12.75">
      <c r="D116" s="7"/>
      <c r="E116" s="7"/>
      <c r="F116" s="7"/>
      <c r="G116">
        <v>7</v>
      </c>
      <c r="H116">
        <v>8</v>
      </c>
      <c r="I116">
        <v>9</v>
      </c>
      <c r="J116">
        <v>10</v>
      </c>
      <c r="K116">
        <v>11</v>
      </c>
      <c r="L116">
        <v>12</v>
      </c>
      <c r="M116">
        <v>13</v>
      </c>
      <c r="N116">
        <v>14</v>
      </c>
      <c r="O116">
        <v>15</v>
      </c>
    </row>
    <row r="117" spans="4:13" ht="12.75">
      <c r="D117" s="7"/>
      <c r="E117" s="7"/>
      <c r="F117" s="7"/>
      <c r="G117" s="7"/>
      <c r="H117" s="7"/>
      <c r="I117" s="7"/>
      <c r="J117" s="7"/>
      <c r="K117" s="7"/>
      <c r="L117" s="7"/>
      <c r="M117" s="7"/>
    </row>
    <row r="118" spans="4:13" ht="12.75">
      <c r="D118" s="7"/>
      <c r="E118" s="7"/>
      <c r="F118" s="7"/>
      <c r="G118" s="7"/>
      <c r="H118" s="7"/>
      <c r="I118" s="7"/>
      <c r="J118" s="7"/>
      <c r="K118" s="7"/>
      <c r="L118" s="7"/>
      <c r="M118" s="7"/>
    </row>
    <row r="119" spans="4:13" ht="12.75">
      <c r="D119" s="7"/>
      <c r="E119" s="7"/>
      <c r="F119" s="7"/>
      <c r="G119" s="7"/>
      <c r="H119" s="7"/>
      <c r="I119" s="7"/>
      <c r="J119" s="7"/>
      <c r="K119" s="7"/>
      <c r="L119" s="7"/>
      <c r="M119" s="7"/>
    </row>
    <row r="120" spans="4:13" ht="12.75">
      <c r="D120" s="7"/>
      <c r="E120" s="96"/>
      <c r="F120" s="7"/>
      <c r="G120" s="7"/>
      <c r="H120" s="96"/>
      <c r="I120" s="7"/>
      <c r="J120" s="7"/>
      <c r="K120" s="7"/>
      <c r="L120" s="7"/>
      <c r="M120" s="7"/>
    </row>
    <row r="121" spans="4:13" ht="12.75">
      <c r="D121" s="7"/>
      <c r="E121" s="96"/>
      <c r="F121" s="7"/>
      <c r="G121" s="7"/>
      <c r="H121" s="96"/>
      <c r="I121" s="7"/>
      <c r="J121" s="7"/>
      <c r="K121" s="7"/>
      <c r="L121" s="7"/>
      <c r="M121" s="7"/>
    </row>
    <row r="122" spans="4:13" ht="12.75">
      <c r="D122" s="7"/>
      <c r="E122" s="96"/>
      <c r="F122" s="7"/>
      <c r="G122" s="7"/>
      <c r="H122" s="96"/>
      <c r="I122" s="7"/>
      <c r="J122" s="7"/>
      <c r="K122" s="7"/>
      <c r="L122" s="7"/>
      <c r="M122" s="7"/>
    </row>
    <row r="123" spans="4:13" ht="12.75">
      <c r="D123" s="7"/>
      <c r="E123" s="96"/>
      <c r="F123" s="7"/>
      <c r="G123" s="7"/>
      <c r="H123" s="96"/>
      <c r="I123" s="7"/>
      <c r="J123" s="7"/>
      <c r="K123" s="7"/>
      <c r="L123" s="7"/>
      <c r="M123" s="7"/>
    </row>
    <row r="124" spans="4:13" ht="12.75">
      <c r="D124" s="97"/>
      <c r="E124" s="96"/>
      <c r="F124" s="7"/>
      <c r="G124" s="97"/>
      <c r="H124" s="96"/>
      <c r="I124" s="7"/>
      <c r="J124" s="7"/>
      <c r="K124" s="7"/>
      <c r="L124" s="7"/>
      <c r="M124" s="7"/>
    </row>
    <row r="125" spans="4:13" ht="12.75">
      <c r="D125" s="97"/>
      <c r="E125" s="96"/>
      <c r="F125" s="7"/>
      <c r="G125" s="97"/>
      <c r="H125" s="96"/>
      <c r="I125" s="7"/>
      <c r="J125" s="7"/>
      <c r="K125" s="7"/>
      <c r="L125" s="7"/>
      <c r="M125" s="7"/>
    </row>
    <row r="126" spans="4:13" ht="12.75">
      <c r="D126" s="7"/>
      <c r="E126" s="96"/>
      <c r="F126" s="7"/>
      <c r="G126" s="7"/>
      <c r="H126" s="96"/>
      <c r="I126" s="7"/>
      <c r="J126" s="7"/>
      <c r="K126" s="7"/>
      <c r="L126" s="7"/>
      <c r="M126" s="7"/>
    </row>
    <row r="127" spans="4:13" ht="12.75">
      <c r="D127" s="7"/>
      <c r="E127" s="96"/>
      <c r="F127" s="7"/>
      <c r="G127" s="7"/>
      <c r="H127" s="96"/>
      <c r="I127" s="7"/>
      <c r="J127" s="7"/>
      <c r="K127" s="7"/>
      <c r="L127" s="7"/>
      <c r="M127" s="7"/>
    </row>
    <row r="128" spans="4:13" ht="12.75">
      <c r="D128" s="7"/>
      <c r="E128" s="96"/>
      <c r="F128" s="7"/>
      <c r="G128" s="7"/>
      <c r="H128" s="96"/>
      <c r="I128" s="7"/>
      <c r="J128" s="7"/>
      <c r="K128" s="7"/>
      <c r="L128" s="7"/>
      <c r="M128" s="7"/>
    </row>
    <row r="129" spans="4:13" ht="12.75">
      <c r="D129" s="7"/>
      <c r="E129" s="96"/>
      <c r="F129" s="7"/>
      <c r="G129" s="7"/>
      <c r="H129" s="96"/>
      <c r="I129" s="7"/>
      <c r="J129" s="7"/>
      <c r="K129" s="7"/>
      <c r="L129" s="7"/>
      <c r="M129" s="7"/>
    </row>
    <row r="130" spans="4:13" ht="12.75">
      <c r="D130" s="7"/>
      <c r="E130" s="96"/>
      <c r="F130" s="7"/>
      <c r="G130" s="7"/>
      <c r="H130" s="96"/>
      <c r="I130" s="7"/>
      <c r="J130" s="7"/>
      <c r="K130" s="7"/>
      <c r="L130" s="7"/>
      <c r="M130" s="7"/>
    </row>
    <row r="131" spans="4:13" ht="12.75">
      <c r="D131" s="96"/>
      <c r="E131" s="96"/>
      <c r="F131" s="96"/>
      <c r="G131" s="96"/>
      <c r="H131" s="96"/>
      <c r="I131" s="7"/>
      <c r="J131" s="7"/>
      <c r="K131" s="7"/>
      <c r="L131" s="7"/>
      <c r="M131" s="7"/>
    </row>
    <row r="132" spans="4:8" ht="12.75">
      <c r="D132" s="96"/>
      <c r="E132" s="96"/>
      <c r="F132" s="96"/>
      <c r="G132" s="96"/>
      <c r="H132" s="96"/>
    </row>
    <row r="133" spans="4:8" ht="12.75">
      <c r="D133" s="96"/>
      <c r="E133" s="96"/>
      <c r="F133" s="96"/>
      <c r="G133" s="96"/>
      <c r="H133" s="96"/>
    </row>
    <row r="134" spans="4:8" ht="12.75">
      <c r="D134" s="96"/>
      <c r="E134" s="96"/>
      <c r="F134" s="96"/>
      <c r="G134" s="96"/>
      <c r="H134" s="96"/>
    </row>
    <row r="135" spans="4:8" ht="12.75">
      <c r="D135" s="96"/>
      <c r="E135" s="96"/>
      <c r="F135" s="96"/>
      <c r="G135" s="96"/>
      <c r="H135" s="96"/>
    </row>
    <row r="136" spans="4:8" ht="12.75">
      <c r="D136" s="96"/>
      <c r="E136" s="96"/>
      <c r="F136" s="96"/>
      <c r="G136" s="96"/>
      <c r="H136" s="96"/>
    </row>
  </sheetData>
  <sheetProtection/>
  <conditionalFormatting sqref="H71:S78">
    <cfRule type="cellIs" priority="1" dxfId="0" operator="lessThan" stopIfTrue="1">
      <formula>$D$45</formula>
    </cfRule>
  </conditionalFormatting>
  <printOptions/>
  <pageMargins left="0.75" right="0.75" top="1" bottom="1" header="0.5" footer="0.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NPO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Polanskaya</dc:creator>
  <cp:keywords/>
  <dc:description/>
  <cp:lastModifiedBy>OVNT-6</cp:lastModifiedBy>
  <cp:lastPrinted>2007-12-08T11:14:45Z</cp:lastPrinted>
  <dcterms:created xsi:type="dcterms:W3CDTF">2006-11-16T07:57:29Z</dcterms:created>
  <dcterms:modified xsi:type="dcterms:W3CDTF">2018-10-17T10:26:40Z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